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0"/>
  <workbookPr codeName="ThisWorkbook" autoCompressPictures="0"/>
  <mc:AlternateContent xmlns:mc="http://schemas.openxmlformats.org/markup-compatibility/2006">
    <mc:Choice Requires="x15">
      <x15ac:absPath xmlns:x15ac="http://schemas.microsoft.com/office/spreadsheetml/2010/11/ac" url="https://esait-my.sharepoint.com/personal/javier_de_pablos_esa_int/Documents/ESA/Working/Tools/Financial/Working/"/>
    </mc:Choice>
  </mc:AlternateContent>
  <xr:revisionPtr revIDLastSave="83" documentId="13_ncr:4800b_{C3C4B5AE-7970-C342-AB02-F9FD03514ACC}" xr6:coauthVersionLast="47" xr6:coauthVersionMax="47" xr10:uidLastSave="{9998658B-2C62-9248-8955-60EF999156D7}"/>
  <workbookProtection workbookAlgorithmName="SHA-512" workbookHashValue="Ug7vMOX5zbwpHXToK3QujyiJBLzgyX576tzR0gjgNrUBOv5lLfdP2ElS9bT+egV80LkGeOUvpqIkvcbV+jtYQw==" workbookSaltValue="DHmfoHwDRwXc9l9zjec2ow==" workbookSpinCount="100000" lockStructure="1"/>
  <bookViews>
    <workbookView xWindow="35220" yWindow="-5380" windowWidth="35700" windowHeight="26520" xr2:uid="{00000000-000D-0000-FFFF-FFFF00000000}"/>
  </bookViews>
  <sheets>
    <sheet name="0.Guidelines" sheetId="7" r:id="rId1"/>
    <sheet name="I.InputData" sheetId="13" r:id="rId2"/>
    <sheet name="II.Profit&amp;Loss+CashFlow" sheetId="4" r:id="rId3"/>
    <sheet name="SUPPORT" sheetId="17" state="hidden" r:id="rId4"/>
  </sheets>
  <externalReferences>
    <externalReference r:id="rId5"/>
  </externalReferences>
  <definedNames>
    <definedName name="_">[1]assumptions!#REF!</definedName>
    <definedName name="consumer">[1]assumptions!#REF!</definedName>
    <definedName name="temp">[1]assumptions!#REF!</definedName>
    <definedName name="temp2">[1]assumptions!#REF!</definedName>
    <definedName name="YES_N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U5" i="17" l="1"/>
  <c r="V5" i="17" s="1"/>
  <c r="W5" i="17" s="1"/>
  <c r="X5" i="17" s="1"/>
  <c r="Y5" i="17" s="1"/>
  <c r="Z5" i="17" s="1"/>
  <c r="AA5" i="17" s="1"/>
  <c r="AB5" i="17" s="1"/>
  <c r="AC5" i="17" s="1"/>
  <c r="AD77" i="17" l="1"/>
  <c r="AM77" i="17"/>
  <c r="AM76" i="17"/>
  <c r="AM75" i="17"/>
  <c r="AM74" i="17"/>
  <c r="AD55" i="17"/>
  <c r="AF69" i="17"/>
  <c r="AD63" i="17"/>
  <c r="AD56" i="17"/>
  <c r="AD65" i="17"/>
  <c r="AD62" i="17"/>
  <c r="AE40" i="17"/>
  <c r="AE63" i="17" s="1"/>
  <c r="AE70" i="17" s="1"/>
  <c r="AD75" i="17"/>
  <c r="AE75" i="17"/>
  <c r="AF75" i="17"/>
  <c r="AG75" i="17"/>
  <c r="AH75" i="17"/>
  <c r="AI75" i="17"/>
  <c r="AJ75" i="17"/>
  <c r="AK75" i="17"/>
  <c r="AL75" i="17"/>
  <c r="AN75" i="17"/>
  <c r="AD76" i="17"/>
  <c r="AE76" i="17"/>
  <c r="AF76" i="17"/>
  <c r="AG76" i="17"/>
  <c r="AH76" i="17"/>
  <c r="AI76" i="17"/>
  <c r="AJ76" i="17"/>
  <c r="AK76" i="17"/>
  <c r="AL76" i="17"/>
  <c r="AN76" i="17"/>
  <c r="AE77" i="17"/>
  <c r="AF77" i="17"/>
  <c r="AG77" i="17"/>
  <c r="AH77" i="17"/>
  <c r="AI77" i="17"/>
  <c r="AJ77" i="17"/>
  <c r="AK77" i="17"/>
  <c r="AL77" i="17"/>
  <c r="AN77" i="17"/>
  <c r="AD70" i="17"/>
  <c r="AD67" i="17"/>
  <c r="AE67" i="17"/>
  <c r="AF67" i="17"/>
  <c r="AG67" i="17"/>
  <c r="AH67" i="17"/>
  <c r="AI67" i="17"/>
  <c r="AJ67" i="17"/>
  <c r="AK67" i="17"/>
  <c r="AL67" i="17"/>
  <c r="AM67" i="17"/>
  <c r="AN67" i="17"/>
  <c r="AD68" i="17"/>
  <c r="AE68" i="17"/>
  <c r="AF68" i="17"/>
  <c r="AG68" i="17"/>
  <c r="AH68" i="17"/>
  <c r="AI68" i="17"/>
  <c r="AJ68" i="17"/>
  <c r="AK68" i="17"/>
  <c r="AL68" i="17"/>
  <c r="AM68" i="17"/>
  <c r="AN68" i="17"/>
  <c r="AD69" i="17"/>
  <c r="AE69" i="17"/>
  <c r="AG69" i="17"/>
  <c r="AH69" i="17"/>
  <c r="AI69" i="17"/>
  <c r="AJ69" i="17"/>
  <c r="AK69" i="17"/>
  <c r="AL69" i="17"/>
  <c r="AM69" i="17"/>
  <c r="AN69" i="17"/>
  <c r="AD59" i="17"/>
  <c r="AE59" i="17"/>
  <c r="AF59" i="17"/>
  <c r="AG59" i="17"/>
  <c r="AH59" i="17"/>
  <c r="AI59" i="17"/>
  <c r="AJ59" i="17"/>
  <c r="AK59" i="17"/>
  <c r="AL59" i="17"/>
  <c r="AM59" i="17"/>
  <c r="AN59" i="17"/>
  <c r="AD60" i="17"/>
  <c r="AE60" i="17"/>
  <c r="AF60" i="17"/>
  <c r="AG60" i="17"/>
  <c r="AH60" i="17"/>
  <c r="AI60" i="17"/>
  <c r="AJ60" i="17"/>
  <c r="AK60" i="17"/>
  <c r="AL60" i="17"/>
  <c r="AM60" i="17"/>
  <c r="AN60" i="17"/>
  <c r="AD61" i="17"/>
  <c r="AE61" i="17"/>
  <c r="AF61" i="17"/>
  <c r="AG61" i="17"/>
  <c r="AH61" i="17"/>
  <c r="AI61" i="17"/>
  <c r="AJ61" i="17"/>
  <c r="AK61" i="17"/>
  <c r="AL61" i="17"/>
  <c r="AM61" i="17"/>
  <c r="AN61" i="17"/>
  <c r="AD51" i="17"/>
  <c r="AE51" i="17"/>
  <c r="AF51" i="17"/>
  <c r="AG51" i="17"/>
  <c r="AH51" i="17"/>
  <c r="AI51" i="17"/>
  <c r="AJ51" i="17"/>
  <c r="AK51" i="17"/>
  <c r="AL51" i="17"/>
  <c r="AM51" i="17"/>
  <c r="AN51" i="17"/>
  <c r="AD52" i="17"/>
  <c r="AE52" i="17"/>
  <c r="AF52" i="17"/>
  <c r="AG52" i="17"/>
  <c r="AH52" i="17"/>
  <c r="AI52" i="17"/>
  <c r="AJ52" i="17"/>
  <c r="AK52" i="17"/>
  <c r="AL52" i="17"/>
  <c r="AM52" i="17"/>
  <c r="AN52" i="17"/>
  <c r="AD53" i="17"/>
  <c r="AE53" i="17"/>
  <c r="AF53" i="17"/>
  <c r="AG53" i="17"/>
  <c r="AH53" i="17"/>
  <c r="AI53" i="17"/>
  <c r="AJ53" i="17"/>
  <c r="AK53" i="17"/>
  <c r="AL53" i="17"/>
  <c r="AM53" i="17"/>
  <c r="AN53" i="17"/>
  <c r="AN44" i="17"/>
  <c r="AN45" i="17"/>
  <c r="AN46" i="17"/>
  <c r="AD45" i="17"/>
  <c r="AE45" i="17"/>
  <c r="AF45" i="17"/>
  <c r="AG45" i="17"/>
  <c r="AH45" i="17"/>
  <c r="AI45" i="17"/>
  <c r="AJ45" i="17"/>
  <c r="AK45" i="17"/>
  <c r="AL45" i="17"/>
  <c r="AM45" i="17"/>
  <c r="AD46" i="17"/>
  <c r="AE46" i="17"/>
  <c r="AF46" i="17"/>
  <c r="AG46" i="17"/>
  <c r="AH46" i="17"/>
  <c r="AI46" i="17"/>
  <c r="AJ46" i="17"/>
  <c r="AK46" i="17"/>
  <c r="AL46" i="17"/>
  <c r="AM46" i="17"/>
  <c r="AD44" i="17"/>
  <c r="C36" i="17"/>
  <c r="E36" i="17"/>
  <c r="F36" i="17"/>
  <c r="G36" i="17"/>
  <c r="H36" i="17"/>
  <c r="I36" i="17"/>
  <c r="J36" i="17"/>
  <c r="K36" i="17"/>
  <c r="L36" i="17"/>
  <c r="M36" i="17"/>
  <c r="N36" i="17"/>
  <c r="O36" i="17"/>
  <c r="C37" i="17"/>
  <c r="E37" i="17"/>
  <c r="F37" i="17"/>
  <c r="G37" i="17"/>
  <c r="H37" i="17"/>
  <c r="I37" i="17"/>
  <c r="J37" i="17"/>
  <c r="K37" i="17"/>
  <c r="L37" i="17"/>
  <c r="M37" i="17"/>
  <c r="N37" i="17"/>
  <c r="O37" i="17"/>
  <c r="C22" i="17"/>
  <c r="D22" i="17"/>
  <c r="E22" i="17"/>
  <c r="F22" i="17"/>
  <c r="G22" i="17"/>
  <c r="C23" i="17"/>
  <c r="D23" i="17"/>
  <c r="E23" i="17"/>
  <c r="F23" i="17"/>
  <c r="G23" i="17"/>
  <c r="C36" i="13"/>
  <c r="C37" i="13"/>
  <c r="E10" i="17"/>
  <c r="E9" i="17"/>
  <c r="E8" i="17"/>
  <c r="E7" i="17"/>
  <c r="O34" i="17"/>
  <c r="N34" i="17"/>
  <c r="M34" i="17"/>
  <c r="L34" i="17"/>
  <c r="K34" i="17"/>
  <c r="J34" i="17"/>
  <c r="I34" i="17"/>
  <c r="H34" i="17"/>
  <c r="G34" i="17"/>
  <c r="F34" i="17"/>
  <c r="E34" i="17"/>
  <c r="AD43" i="17"/>
  <c r="O33" i="17"/>
  <c r="N33" i="17"/>
  <c r="M33" i="17"/>
  <c r="L33" i="17"/>
  <c r="K33" i="17"/>
  <c r="J33" i="17"/>
  <c r="I33" i="17"/>
  <c r="H33" i="17"/>
  <c r="G33" i="17"/>
  <c r="F33" i="17"/>
  <c r="E33" i="17"/>
  <c r="AD42" i="17"/>
  <c r="G20" i="17"/>
  <c r="F20" i="17"/>
  <c r="E20" i="17"/>
  <c r="D20" i="17"/>
  <c r="G19" i="17"/>
  <c r="F19" i="17"/>
  <c r="E19" i="17"/>
  <c r="D19" i="17"/>
  <c r="C20" i="17"/>
  <c r="C19" i="17"/>
  <c r="C33" i="13"/>
  <c r="C33" i="17"/>
  <c r="C34" i="13"/>
  <c r="C34" i="17"/>
  <c r="E35" i="17"/>
  <c r="E32" i="17"/>
  <c r="AD41" i="17"/>
  <c r="H11" i="17"/>
  <c r="U27" i="17" s="1"/>
  <c r="D10" i="17"/>
  <c r="Z26" i="17" s="1"/>
  <c r="D8" i="17"/>
  <c r="Y24" i="17"/>
  <c r="D9" i="17"/>
  <c r="Y25" i="17"/>
  <c r="D7" i="17"/>
  <c r="Y23" i="17" s="1"/>
  <c r="G7" i="17"/>
  <c r="T23" i="17" s="1"/>
  <c r="F7" i="17"/>
  <c r="G11" i="17"/>
  <c r="E54" i="17"/>
  <c r="F25" i="17"/>
  <c r="H7" i="17"/>
  <c r="H8" i="17"/>
  <c r="H9" i="17"/>
  <c r="U25" i="17" s="1"/>
  <c r="H10" i="17"/>
  <c r="G10" i="17"/>
  <c r="G8" i="17"/>
  <c r="AC7" i="17"/>
  <c r="AB7" i="17"/>
  <c r="AA7" i="17"/>
  <c r="Z7" i="17"/>
  <c r="E43" i="17"/>
  <c r="AD92" i="17"/>
  <c r="E46" i="17"/>
  <c r="AD95" i="17"/>
  <c r="E47" i="17"/>
  <c r="AD96" i="17"/>
  <c r="E48" i="17"/>
  <c r="AD97" i="17"/>
  <c r="F8" i="17"/>
  <c r="F9" i="17"/>
  <c r="F10" i="17"/>
  <c r="U7" i="17"/>
  <c r="V7" i="17"/>
  <c r="W7" i="17"/>
  <c r="X7" i="17"/>
  <c r="Y7" i="17"/>
  <c r="T7" i="17"/>
  <c r="E31" i="17"/>
  <c r="AD40" i="17"/>
  <c r="D17" i="17"/>
  <c r="AD47" i="17" s="1"/>
  <c r="D24" i="17"/>
  <c r="I32" i="17"/>
  <c r="AH48" i="17"/>
  <c r="E18" i="17"/>
  <c r="E24" i="17"/>
  <c r="F32" i="17"/>
  <c r="G32" i="17"/>
  <c r="H32" i="17"/>
  <c r="F18" i="17"/>
  <c r="F24" i="17"/>
  <c r="I31" i="17"/>
  <c r="E17" i="17"/>
  <c r="F31" i="17"/>
  <c r="AE55" i="17" s="1"/>
  <c r="AE62" i="17" s="1"/>
  <c r="G31" i="17"/>
  <c r="H31" i="17"/>
  <c r="F17" i="17"/>
  <c r="F35" i="17"/>
  <c r="G35" i="17"/>
  <c r="H35" i="17"/>
  <c r="I35" i="17"/>
  <c r="F21" i="17"/>
  <c r="J35" i="17"/>
  <c r="K35" i="17"/>
  <c r="L35" i="17"/>
  <c r="M35" i="17"/>
  <c r="N35" i="17"/>
  <c r="O35" i="17"/>
  <c r="J32" i="17"/>
  <c r="K32" i="17"/>
  <c r="L32" i="17"/>
  <c r="M32" i="17"/>
  <c r="N32" i="17"/>
  <c r="O32" i="17"/>
  <c r="N31" i="17"/>
  <c r="J31" i="17"/>
  <c r="K31" i="17"/>
  <c r="L31" i="17"/>
  <c r="AK55" i="17" s="1"/>
  <c r="AK62" i="17" s="1"/>
  <c r="M31" i="17"/>
  <c r="AL47" i="17" s="1"/>
  <c r="AL54" i="17" s="1"/>
  <c r="O31" i="17"/>
  <c r="AN91" i="17" s="1"/>
  <c r="E21" i="17"/>
  <c r="C2" i="17"/>
  <c r="C4" i="17"/>
  <c r="B5" i="17"/>
  <c r="C5" i="17"/>
  <c r="D5" i="17"/>
  <c r="E5" i="17"/>
  <c r="F5" i="17"/>
  <c r="G5" i="17"/>
  <c r="H5" i="17"/>
  <c r="F6" i="17"/>
  <c r="G6" i="17"/>
  <c r="H6" i="17"/>
  <c r="C7" i="17"/>
  <c r="C8" i="17"/>
  <c r="C9" i="17"/>
  <c r="G9" i="17"/>
  <c r="C10" i="17"/>
  <c r="C11" i="17"/>
  <c r="D11" i="17"/>
  <c r="E11" i="17"/>
  <c r="F11" i="17"/>
  <c r="C14" i="17"/>
  <c r="C15" i="17"/>
  <c r="D15" i="17"/>
  <c r="E15" i="17"/>
  <c r="F15" i="17"/>
  <c r="G15" i="17"/>
  <c r="B17" i="17"/>
  <c r="C17" i="17"/>
  <c r="G17" i="17"/>
  <c r="C18" i="17"/>
  <c r="D18" i="17"/>
  <c r="G18" i="17"/>
  <c r="C21" i="17"/>
  <c r="D21" i="17"/>
  <c r="G21" i="17"/>
  <c r="C24" i="17"/>
  <c r="G24" i="17"/>
  <c r="C25" i="17"/>
  <c r="C28" i="17"/>
  <c r="B29" i="17"/>
  <c r="C29" i="17"/>
  <c r="E29" i="13"/>
  <c r="E29" i="17" s="1"/>
  <c r="F29" i="17"/>
  <c r="E30" i="17"/>
  <c r="F30" i="17"/>
  <c r="G30" i="17"/>
  <c r="H30" i="17"/>
  <c r="I30" i="17"/>
  <c r="J30" i="17"/>
  <c r="K30" i="17"/>
  <c r="L30" i="17"/>
  <c r="M30" i="17"/>
  <c r="N30" i="17"/>
  <c r="O30" i="17"/>
  <c r="C40" i="17"/>
  <c r="B41" i="17"/>
  <c r="C41" i="17"/>
  <c r="E41" i="13"/>
  <c r="E41" i="17"/>
  <c r="F41" i="17"/>
  <c r="E42" i="17"/>
  <c r="F42" i="17"/>
  <c r="G42" i="17"/>
  <c r="H42" i="17"/>
  <c r="I42" i="17"/>
  <c r="J42" i="17"/>
  <c r="K42" i="17"/>
  <c r="L42" i="17"/>
  <c r="M42" i="17"/>
  <c r="N42" i="17"/>
  <c r="O42" i="17"/>
  <c r="C43" i="17"/>
  <c r="F43" i="17"/>
  <c r="AE92" i="17"/>
  <c r="G43" i="17"/>
  <c r="AF92" i="17"/>
  <c r="H43" i="17"/>
  <c r="AG92" i="17"/>
  <c r="I43" i="17"/>
  <c r="AH92" i="17"/>
  <c r="J43" i="17"/>
  <c r="AI92" i="17"/>
  <c r="K43" i="17"/>
  <c r="AJ92" i="17"/>
  <c r="L43" i="17"/>
  <c r="AK92" i="17"/>
  <c r="M43" i="17"/>
  <c r="AL92" i="17"/>
  <c r="N43" i="17"/>
  <c r="AM92" i="17"/>
  <c r="O43" i="17"/>
  <c r="AN92" i="17"/>
  <c r="C44" i="17"/>
  <c r="E44" i="17"/>
  <c r="AD93" i="17"/>
  <c r="F44" i="17"/>
  <c r="AE93" i="17"/>
  <c r="G44" i="17"/>
  <c r="AF93" i="17"/>
  <c r="H44" i="17"/>
  <c r="AG93" i="17"/>
  <c r="I44" i="17"/>
  <c r="AH93" i="17"/>
  <c r="J44" i="17"/>
  <c r="AI93" i="17"/>
  <c r="K44" i="17"/>
  <c r="AJ93" i="17"/>
  <c r="L44" i="17"/>
  <c r="AK93" i="17"/>
  <c r="M44" i="17"/>
  <c r="AL93" i="17"/>
  <c r="N44" i="17"/>
  <c r="AM93" i="17"/>
  <c r="O44" i="17"/>
  <c r="AN93" i="17" s="1"/>
  <c r="C45" i="17"/>
  <c r="E45" i="17"/>
  <c r="AD94" i="17"/>
  <c r="F45" i="17"/>
  <c r="AE94" i="17"/>
  <c r="G45" i="17"/>
  <c r="AF94" i="17"/>
  <c r="H45" i="17"/>
  <c r="AG94" i="17"/>
  <c r="I45" i="17"/>
  <c r="AH94" i="17"/>
  <c r="J45" i="17"/>
  <c r="AI94" i="17"/>
  <c r="K45" i="17"/>
  <c r="AJ94" i="17"/>
  <c r="L45" i="17"/>
  <c r="AK94" i="17"/>
  <c r="M45" i="17"/>
  <c r="AL94" i="17"/>
  <c r="N45" i="17"/>
  <c r="AM94" i="17"/>
  <c r="O45" i="17"/>
  <c r="AN94" i="17"/>
  <c r="C46" i="17"/>
  <c r="F46" i="17"/>
  <c r="AE95" i="17"/>
  <c r="G46" i="17"/>
  <c r="AF95" i="17"/>
  <c r="H46" i="17"/>
  <c r="AG95" i="17"/>
  <c r="I46" i="17"/>
  <c r="AH95" i="17"/>
  <c r="J46" i="17"/>
  <c r="AI95" i="17"/>
  <c r="K46" i="17"/>
  <c r="AJ95" i="17"/>
  <c r="L46" i="17"/>
  <c r="AK95" i="17"/>
  <c r="M46" i="17"/>
  <c r="AL95" i="17"/>
  <c r="N46" i="17"/>
  <c r="AM95" i="17"/>
  <c r="O46" i="17"/>
  <c r="AN95" i="17"/>
  <c r="C47" i="17"/>
  <c r="F47" i="17"/>
  <c r="AE96" i="17"/>
  <c r="G47" i="17"/>
  <c r="AF96" i="17"/>
  <c r="H47" i="17"/>
  <c r="AG96" i="17"/>
  <c r="I47" i="17"/>
  <c r="AH96" i="17"/>
  <c r="J47" i="17"/>
  <c r="AI96" i="17"/>
  <c r="K47" i="17"/>
  <c r="AJ96" i="17"/>
  <c r="L47" i="17"/>
  <c r="AK96" i="17"/>
  <c r="M47" i="17"/>
  <c r="AL96" i="17"/>
  <c r="N47" i="17"/>
  <c r="AM96" i="17"/>
  <c r="O47" i="17"/>
  <c r="AN96" i="17"/>
  <c r="C48" i="17"/>
  <c r="F48" i="17"/>
  <c r="AE97" i="17"/>
  <c r="G48" i="17"/>
  <c r="AF97" i="17"/>
  <c r="H48" i="17"/>
  <c r="AG97" i="17"/>
  <c r="I48" i="17"/>
  <c r="AH97" i="17"/>
  <c r="J48" i="17"/>
  <c r="AI97" i="17"/>
  <c r="K48" i="17"/>
  <c r="AJ97" i="17"/>
  <c r="L48" i="17"/>
  <c r="AK97" i="17"/>
  <c r="M48" i="17"/>
  <c r="AL97" i="17"/>
  <c r="N48" i="17"/>
  <c r="AM97" i="17"/>
  <c r="O48" i="17"/>
  <c r="AN97" i="17"/>
  <c r="C53" i="17"/>
  <c r="B54" i="17"/>
  <c r="C54" i="17"/>
  <c r="F54" i="17"/>
  <c r="E57" i="17"/>
  <c r="F57" i="17"/>
  <c r="G57" i="17"/>
  <c r="H57" i="17"/>
  <c r="I57" i="17"/>
  <c r="J57" i="17"/>
  <c r="K57" i="17"/>
  <c r="L57" i="17"/>
  <c r="M57" i="17"/>
  <c r="N57" i="17"/>
  <c r="O57" i="17"/>
  <c r="C58" i="17"/>
  <c r="E58" i="17"/>
  <c r="AB107" i="17"/>
  <c r="C59" i="17"/>
  <c r="E59" i="17"/>
  <c r="AD98" i="17"/>
  <c r="F59" i="17"/>
  <c r="AE98" i="17"/>
  <c r="G59" i="17"/>
  <c r="AF98" i="17"/>
  <c r="H59" i="17"/>
  <c r="AG98" i="17"/>
  <c r="I59" i="17"/>
  <c r="AH98" i="17"/>
  <c r="J59" i="17"/>
  <c r="AI98" i="17"/>
  <c r="K59" i="17"/>
  <c r="AJ98" i="17"/>
  <c r="L59" i="17"/>
  <c r="AK98" i="17"/>
  <c r="M59" i="17"/>
  <c r="AL98" i="17"/>
  <c r="N59" i="17"/>
  <c r="AM98" i="17"/>
  <c r="O59" i="17"/>
  <c r="AN98" i="17"/>
  <c r="C60" i="17"/>
  <c r="E60" i="17"/>
  <c r="AD99" i="17"/>
  <c r="F60" i="17"/>
  <c r="AE99" i="17"/>
  <c r="G60" i="17"/>
  <c r="AF99" i="17"/>
  <c r="H60" i="17"/>
  <c r="AG99" i="17"/>
  <c r="I60" i="17"/>
  <c r="AH99" i="17"/>
  <c r="J60" i="17"/>
  <c r="AI99" i="17"/>
  <c r="K60" i="17"/>
  <c r="AJ99" i="17"/>
  <c r="L60" i="17"/>
  <c r="AK99" i="17"/>
  <c r="M60" i="17"/>
  <c r="AL99" i="17"/>
  <c r="N60" i="17"/>
  <c r="AM99" i="17"/>
  <c r="O60" i="17"/>
  <c r="AN99" i="17"/>
  <c r="C63" i="17"/>
  <c r="E63" i="17"/>
  <c r="C64" i="17"/>
  <c r="E64" i="17"/>
  <c r="AD101" i="17"/>
  <c r="F64" i="17"/>
  <c r="AE101" i="17"/>
  <c r="G64" i="17"/>
  <c r="AF101" i="17"/>
  <c r="H64" i="17"/>
  <c r="AG101" i="17"/>
  <c r="I64" i="17"/>
  <c r="AH101" i="17"/>
  <c r="J64" i="17"/>
  <c r="AI101" i="17"/>
  <c r="K64" i="17"/>
  <c r="AJ101" i="17"/>
  <c r="L64" i="17"/>
  <c r="AK101" i="17"/>
  <c r="M64" i="17"/>
  <c r="AL101" i="17"/>
  <c r="N64" i="17"/>
  <c r="AM101" i="17"/>
  <c r="O64" i="17"/>
  <c r="AN101" i="17"/>
  <c r="C65" i="17"/>
  <c r="E65" i="17"/>
  <c r="AD102" i="17"/>
  <c r="F65" i="17"/>
  <c r="AE102" i="17"/>
  <c r="G65" i="17"/>
  <c r="AF102" i="17"/>
  <c r="H65" i="17"/>
  <c r="AG102" i="17"/>
  <c r="I65" i="17"/>
  <c r="AH102" i="17"/>
  <c r="J65" i="17"/>
  <c r="AI102" i="17"/>
  <c r="K65" i="17"/>
  <c r="AJ102" i="17"/>
  <c r="L65" i="17"/>
  <c r="AK102" i="17"/>
  <c r="M65" i="17"/>
  <c r="AL102" i="17"/>
  <c r="N65" i="17"/>
  <c r="AM102" i="17"/>
  <c r="O65" i="17"/>
  <c r="AN102" i="17"/>
  <c r="C70" i="17"/>
  <c r="C71" i="17"/>
  <c r="D71" i="17"/>
  <c r="C72" i="17"/>
  <c r="D72" i="17"/>
  <c r="AS134" i="17"/>
  <c r="AC151" i="17"/>
  <c r="AR134" i="17"/>
  <c r="AC150" i="17"/>
  <c r="AQ134" i="17"/>
  <c r="AC149" i="17"/>
  <c r="AP134" i="17"/>
  <c r="AC148" i="17"/>
  <c r="AO134" i="17"/>
  <c r="AC147" i="17"/>
  <c r="AB111" i="17"/>
  <c r="AS109" i="17"/>
  <c r="AC126" i="17"/>
  <c r="AR109" i="17"/>
  <c r="AC125" i="17"/>
  <c r="AQ109" i="17"/>
  <c r="AC124" i="17"/>
  <c r="AP109" i="17"/>
  <c r="AC123" i="17"/>
  <c r="AO109" i="17"/>
  <c r="AC122" i="17"/>
  <c r="AB136" i="17"/>
  <c r="AB132" i="17"/>
  <c r="AC132" i="17"/>
  <c r="AB137" i="17"/>
  <c r="AB138" i="17"/>
  <c r="AB139" i="17"/>
  <c r="AB140" i="17"/>
  <c r="AB141" i="17"/>
  <c r="AB142" i="17"/>
  <c r="AB143" i="17"/>
  <c r="AB144" i="17"/>
  <c r="AB145" i="17"/>
  <c r="AB146" i="17"/>
  <c r="AO133" i="17"/>
  <c r="AB147" i="17"/>
  <c r="AB112" i="17"/>
  <c r="AB113" i="17"/>
  <c r="AB114" i="17"/>
  <c r="AB115" i="17"/>
  <c r="AB116" i="17"/>
  <c r="AB117" i="17"/>
  <c r="AB118" i="17"/>
  <c r="AB119" i="17"/>
  <c r="AB120" i="17"/>
  <c r="AB121" i="17"/>
  <c r="AO108" i="17"/>
  <c r="AP108" i="17"/>
  <c r="AB123" i="17"/>
  <c r="B2" i="17"/>
  <c r="AD38" i="17"/>
  <c r="S8" i="17"/>
  <c r="S9" i="17"/>
  <c r="S10" i="17"/>
  <c r="AD107" i="17"/>
  <c r="S100" i="17"/>
  <c r="AA109" i="17"/>
  <c r="AD132" i="17"/>
  <c r="S103" i="17"/>
  <c r="AA134" i="17"/>
  <c r="AD81" i="17"/>
  <c r="S95" i="17"/>
  <c r="S96" i="17"/>
  <c r="S97" i="17"/>
  <c r="S98" i="17"/>
  <c r="S99" i="17"/>
  <c r="S101" i="17"/>
  <c r="S102" i="17"/>
  <c r="D4" i="4"/>
  <c r="D5" i="4"/>
  <c r="S11" i="17"/>
  <c r="AD30" i="17"/>
  <c r="E52" i="13"/>
  <c r="C32" i="13"/>
  <c r="C32" i="17"/>
  <c r="C35" i="13"/>
  <c r="C35" i="17"/>
  <c r="C31" i="13"/>
  <c r="C31" i="17"/>
  <c r="AD58" i="17"/>
  <c r="AE57" i="17"/>
  <c r="AF144" i="17"/>
  <c r="AG141" i="17"/>
  <c r="AB122" i="17"/>
  <c r="AP122" i="17"/>
  <c r="AL137" i="17"/>
  <c r="AD143" i="17"/>
  <c r="AN136" i="17"/>
  <c r="AK49" i="17"/>
  <c r="Z25" i="17"/>
  <c r="AM48" i="17"/>
  <c r="AG48" i="17"/>
  <c r="AH57" i="17"/>
  <c r="AK56" i="17"/>
  <c r="AJ56" i="17"/>
  <c r="AP133" i="17"/>
  <c r="AP139" i="17"/>
  <c r="V27" i="17"/>
  <c r="AJ50" i="17"/>
  <c r="AL48" i="17"/>
  <c r="AG47" i="17"/>
  <c r="AG54" i="17" s="1"/>
  <c r="AF48" i="17"/>
  <c r="AF57" i="17"/>
  <c r="AN57" i="17"/>
  <c r="AK50" i="17"/>
  <c r="AQ108" i="17"/>
  <c r="AQ112" i="17"/>
  <c r="AQ129" i="17" s="1"/>
  <c r="AF47" i="17"/>
  <c r="AF54" i="17" s="1"/>
  <c r="AE48" i="17"/>
  <c r="AI48" i="17"/>
  <c r="AM47" i="17"/>
  <c r="AM54" i="17" s="1"/>
  <c r="U24" i="17"/>
  <c r="AH47" i="17"/>
  <c r="AH54" i="17" s="1"/>
  <c r="AF50" i="17"/>
  <c r="AD57" i="17"/>
  <c r="AE47" i="17"/>
  <c r="AE54" i="17" s="1"/>
  <c r="AI58" i="17"/>
  <c r="W26" i="17"/>
  <c r="AL50" i="17"/>
  <c r="AH49" i="17"/>
  <c r="AE58" i="17"/>
  <c r="AM49" i="17"/>
  <c r="AE49" i="17"/>
  <c r="AJ49" i="17"/>
  <c r="AI145" i="17"/>
  <c r="AE50" i="17"/>
  <c r="Z24" i="17"/>
  <c r="AM103" i="17"/>
  <c r="AM134" i="17"/>
  <c r="AC145" i="17"/>
  <c r="AO145" i="17"/>
  <c r="X26" i="17"/>
  <c r="AH91" i="17"/>
  <c r="AG57" i="17"/>
  <c r="AL58" i="17"/>
  <c r="V24" i="17"/>
  <c r="S23" i="17"/>
  <c r="AM50" i="17"/>
  <c r="AK48" i="17"/>
  <c r="AK146" i="17"/>
  <c r="AJ47" i="17"/>
  <c r="AJ54" i="17" s="1"/>
  <c r="AH55" i="17"/>
  <c r="AH62" i="17" s="1"/>
  <c r="AM56" i="17"/>
  <c r="AI49" i="17"/>
  <c r="AN50" i="17"/>
  <c r="AL56" i="17"/>
  <c r="AJ123" i="17"/>
  <c r="AF140" i="17"/>
  <c r="AD48" i="17"/>
  <c r="V25" i="17"/>
  <c r="AE140" i="17"/>
  <c r="AL136" i="17"/>
  <c r="AI144" i="17"/>
  <c r="AG56" i="17"/>
  <c r="AN49" i="17"/>
  <c r="AJ100" i="17"/>
  <c r="AJ109" i="17"/>
  <c r="AC117" i="17"/>
  <c r="AL117" i="17"/>
  <c r="AJ55" i="17"/>
  <c r="AJ62" i="17" s="1"/>
  <c r="U26" i="17"/>
  <c r="X24" i="17"/>
  <c r="AE145" i="17"/>
  <c r="AD140" i="17"/>
  <c r="AE143" i="17"/>
  <c r="AI57" i="17"/>
  <c r="AN103" i="17"/>
  <c r="AN134" i="17"/>
  <c r="AC146" i="17"/>
  <c r="AN146" i="17"/>
  <c r="AQ116" i="17"/>
  <c r="AN56" i="17"/>
  <c r="W23" i="17"/>
  <c r="AL49" i="17"/>
  <c r="AP141" i="17"/>
  <c r="X23" i="17"/>
  <c r="S27" i="17"/>
  <c r="AI142" i="17"/>
  <c r="AI55" i="17"/>
  <c r="AI62" i="17" s="1"/>
  <c r="AM137" i="17"/>
  <c r="AE56" i="17"/>
  <c r="AG49" i="17"/>
  <c r="AJ58" i="17"/>
  <c r="T27" i="17"/>
  <c r="AD7" i="17" s="1"/>
  <c r="V26" i="17"/>
  <c r="X27" i="17"/>
  <c r="AD141" i="17"/>
  <c r="AG143" i="17"/>
  <c r="AF55" i="17"/>
  <c r="AF62" i="17" s="1"/>
  <c r="AD144" i="17"/>
  <c r="AF143" i="17"/>
  <c r="AD50" i="17"/>
  <c r="AJ91" i="17"/>
  <c r="AI91" i="17"/>
  <c r="T26" i="17"/>
  <c r="AG55" i="17"/>
  <c r="AG62" i="17" s="1"/>
  <c r="V23" i="17"/>
  <c r="S26" i="17"/>
  <c r="AO136" i="17"/>
  <c r="AN137" i="17"/>
  <c r="AM136" i="17"/>
  <c r="AM154" i="17" s="1"/>
  <c r="AE144" i="17"/>
  <c r="AI50" i="17"/>
  <c r="AF49" i="17"/>
  <c r="AK57" i="17"/>
  <c r="AJ48" i="17"/>
  <c r="AM55" i="17"/>
  <c r="AM62" i="17" s="1"/>
  <c r="AH56" i="17"/>
  <c r="AF91" i="17"/>
  <c r="AN48" i="17"/>
  <c r="S25" i="17"/>
  <c r="AF142" i="17"/>
  <c r="AD49" i="17"/>
  <c r="AD64" i="17"/>
  <c r="AE41" i="17"/>
  <c r="AE42" i="17"/>
  <c r="AE65" i="17"/>
  <c r="AE91" i="17"/>
  <c r="AM100" i="17"/>
  <c r="AM109" i="17"/>
  <c r="AC120" i="17"/>
  <c r="AN120" i="17"/>
  <c r="AH50" i="17"/>
  <c r="AI56" i="17"/>
  <c r="U23" i="17"/>
  <c r="AE103" i="17"/>
  <c r="AE134" i="17"/>
  <c r="AC137" i="17"/>
  <c r="AK103" i="17"/>
  <c r="AK134" i="17"/>
  <c r="AC143" i="17"/>
  <c r="AM143" i="17"/>
  <c r="AK100" i="17"/>
  <c r="AK109" i="17"/>
  <c r="AC118" i="17"/>
  <c r="AL118" i="17"/>
  <c r="AJ103" i="17"/>
  <c r="AJ134" i="17"/>
  <c r="AC142" i="17"/>
  <c r="AN142" i="17"/>
  <c r="AI100" i="17"/>
  <c r="AI109" i="17"/>
  <c r="AC116" i="17"/>
  <c r="AK116" i="17"/>
  <c r="AI103" i="17"/>
  <c r="AI134" i="17"/>
  <c r="AC141" i="17"/>
  <c r="AI141" i="17"/>
  <c r="AG91" i="17"/>
  <c r="AD127" i="17"/>
  <c r="AD116" i="17"/>
  <c r="AL120" i="17"/>
  <c r="AF119" i="17"/>
  <c r="AD118" i="17"/>
  <c r="AF121" i="17"/>
  <c r="AM111" i="17"/>
  <c r="AH118" i="17"/>
  <c r="AO115" i="17"/>
  <c r="AP111" i="17"/>
  <c r="AE121" i="17"/>
  <c r="AE123" i="17"/>
  <c r="AP115" i="17"/>
  <c r="AK112" i="17"/>
  <c r="AM114" i="17"/>
  <c r="AJ119" i="17"/>
  <c r="AJ120" i="17"/>
  <c r="AH116" i="17"/>
  <c r="AD112" i="17"/>
  <c r="AD129" i="17" s="1"/>
  <c r="AI111" i="17"/>
  <c r="AP116" i="17"/>
  <c r="AE118" i="17"/>
  <c r="AE113" i="17"/>
  <c r="AN123" i="17"/>
  <c r="AF114" i="17"/>
  <c r="AE116" i="17"/>
  <c r="AN115" i="17"/>
  <c r="AN113" i="17"/>
  <c r="AN116" i="17"/>
  <c r="AG116" i="17"/>
  <c r="AL111" i="17"/>
  <c r="AD120" i="17"/>
  <c r="AK121" i="17"/>
  <c r="AG121" i="17"/>
  <c r="AE114" i="17"/>
  <c r="AP123" i="17"/>
  <c r="AH119" i="17"/>
  <c r="AF116" i="17"/>
  <c r="AP112" i="17"/>
  <c r="AD115" i="17"/>
  <c r="AG115" i="17"/>
  <c r="AM121" i="17"/>
  <c r="AD119" i="17"/>
  <c r="AC107" i="17"/>
  <c r="AL113" i="17"/>
  <c r="AE115" i="17"/>
  <c r="AP113" i="17"/>
  <c r="AO123" i="17"/>
  <c r="AL114" i="17"/>
  <c r="AH121" i="17"/>
  <c r="AO113" i="17"/>
  <c r="AO116" i="17"/>
  <c r="AO111" i="17"/>
  <c r="AO112" i="17"/>
  <c r="AG119" i="17"/>
  <c r="AO114" i="17"/>
  <c r="AM112" i="17"/>
  <c r="AM129" i="17" s="1"/>
  <c r="AE119" i="17"/>
  <c r="AI122" i="17"/>
  <c r="AD123" i="17"/>
  <c r="AM113" i="17"/>
  <c r="AJ112" i="17"/>
  <c r="AF115" i="17"/>
  <c r="AI119" i="17"/>
  <c r="AI120" i="17"/>
  <c r="AK113" i="17"/>
  <c r="AJ121" i="17"/>
  <c r="AD152" i="17"/>
  <c r="AN111" i="17"/>
  <c r="AP114" i="17"/>
  <c r="AN112" i="17"/>
  <c r="AL121" i="17"/>
  <c r="AH120" i="17"/>
  <c r="AK111" i="17"/>
  <c r="AF120" i="17"/>
  <c r="AP118" i="17"/>
  <c r="AK120" i="17"/>
  <c r="AE120" i="17"/>
  <c r="AD113" i="17"/>
  <c r="AF118" i="17"/>
  <c r="AD114" i="17"/>
  <c r="AN114" i="17"/>
  <c r="AJ111" i="17"/>
  <c r="AM115" i="17"/>
  <c r="AI121" i="17"/>
  <c r="AK119" i="17"/>
  <c r="AL112" i="17"/>
  <c r="AG120" i="17"/>
  <c r="AD121" i="17"/>
  <c r="AD66" i="17"/>
  <c r="AE43" i="17"/>
  <c r="AH100" i="17"/>
  <c r="AH109" i="17"/>
  <c r="AC115" i="17"/>
  <c r="AJ115" i="17"/>
  <c r="AD103" i="17"/>
  <c r="AD134" i="17"/>
  <c r="AD135" i="17"/>
  <c r="AC136" i="17" s="1"/>
  <c r="AG100" i="17"/>
  <c r="AG109" i="17"/>
  <c r="AC114" i="17"/>
  <c r="AI114" i="17"/>
  <c r="AM91" i="17"/>
  <c r="AF145" i="17"/>
  <c r="AO140" i="17"/>
  <c r="AI143" i="17"/>
  <c r="AE139" i="17"/>
  <c r="AO139" i="17"/>
  <c r="AF139" i="17"/>
  <c r="AG144" i="17"/>
  <c r="AJ143" i="17"/>
  <c r="AN58" i="17"/>
  <c r="AH58" i="17"/>
  <c r="AF58" i="17"/>
  <c r="AD91" i="17"/>
  <c r="W27" i="17"/>
  <c r="AE141" i="17"/>
  <c r="AG142" i="17"/>
  <c r="AK145" i="17"/>
  <c r="AH144" i="17"/>
  <c r="AH143" i="17"/>
  <c r="AI47" i="17"/>
  <c r="AI54" i="17" s="1"/>
  <c r="AG50" i="17"/>
  <c r="AM57" i="17"/>
  <c r="AM58" i="17"/>
  <c r="AG58" i="17"/>
  <c r="AH103" i="17"/>
  <c r="AH134" i="17"/>
  <c r="AC140" i="17"/>
  <c r="AM140" i="17"/>
  <c r="AL100" i="17"/>
  <c r="AL109" i="17"/>
  <c r="AC119" i="17"/>
  <c r="AP119" i="17"/>
  <c r="AG103" i="17"/>
  <c r="AG134" i="17"/>
  <c r="AC139" i="17"/>
  <c r="AH139" i="17"/>
  <c r="AK144" i="17"/>
  <c r="AD142" i="17"/>
  <c r="AG145" i="17"/>
  <c r="AD145" i="17"/>
  <c r="AG140" i="17"/>
  <c r="AF141" i="17"/>
  <c r="AH145" i="17"/>
  <c r="AD139" i="17"/>
  <c r="AF56" i="17"/>
  <c r="AL57" i="17"/>
  <c r="AJ57" i="17"/>
  <c r="AN139" i="17"/>
  <c r="AD100" i="17"/>
  <c r="AD109" i="17"/>
  <c r="AM146" i="17"/>
  <c r="AH141" i="17"/>
  <c r="AH142" i="17"/>
  <c r="AL145" i="17"/>
  <c r="AE142" i="17"/>
  <c r="AJ144" i="17"/>
  <c r="AO137" i="17"/>
  <c r="AK58" i="17"/>
  <c r="AI118" i="17"/>
  <c r="AL103" i="17"/>
  <c r="AL134" i="17"/>
  <c r="AC144" i="17"/>
  <c r="AO144" i="17"/>
  <c r="AF117" i="17"/>
  <c r="AO117" i="17"/>
  <c r="AD117" i="17"/>
  <c r="AE117" i="17"/>
  <c r="AG117" i="17"/>
  <c r="AI117" i="17"/>
  <c r="AP117" i="17"/>
  <c r="AH117" i="17"/>
  <c r="AG123" i="17"/>
  <c r="AL123" i="17"/>
  <c r="AI123" i="17"/>
  <c r="AH123" i="17"/>
  <c r="AF123" i="17"/>
  <c r="AM123" i="17"/>
  <c r="AK123" i="17"/>
  <c r="AN100" i="17"/>
  <c r="AN109" i="17"/>
  <c r="AC121" i="17"/>
  <c r="AF122" i="17"/>
  <c r="AN122" i="17"/>
  <c r="AE122" i="17"/>
  <c r="AK122" i="17"/>
  <c r="AM122" i="17"/>
  <c r="AH122" i="17"/>
  <c r="AG122" i="17"/>
  <c r="AO122" i="17"/>
  <c r="AN145" i="17"/>
  <c r="AF100" i="17"/>
  <c r="AF109" i="17"/>
  <c r="AC113" i="17"/>
  <c r="AP136" i="17"/>
  <c r="AP154" i="17" s="1"/>
  <c r="AP138" i="17"/>
  <c r="AP145" i="17"/>
  <c r="AP137" i="17"/>
  <c r="AE44" i="17"/>
  <c r="AD147" i="17"/>
  <c r="AN147" i="17"/>
  <c r="AH147" i="17"/>
  <c r="AJ147" i="17"/>
  <c r="AL147" i="17"/>
  <c r="AI147" i="17"/>
  <c r="AO147" i="17"/>
  <c r="AE147" i="17"/>
  <c r="AF147" i="17"/>
  <c r="AK147" i="17"/>
  <c r="AM147" i="17"/>
  <c r="AG147" i="17"/>
  <c r="AF103" i="17"/>
  <c r="AF134" i="17"/>
  <c r="AC138" i="17"/>
  <c r="AJ138" i="17"/>
  <c r="AI146" i="17"/>
  <c r="AD146" i="17"/>
  <c r="AF146" i="17"/>
  <c r="AH146" i="17"/>
  <c r="AE146" i="17"/>
  <c r="AL146" i="17"/>
  <c r="AG146" i="17"/>
  <c r="AJ146" i="17"/>
  <c r="AM138" i="17"/>
  <c r="AN138" i="17"/>
  <c r="AO138" i="17"/>
  <c r="AE138" i="17"/>
  <c r="AD138" i="17"/>
  <c r="AD137" i="17"/>
  <c r="AJ145" i="17"/>
  <c r="AK136" i="17"/>
  <c r="AK154" i="17" s="1"/>
  <c r="AG118" i="17"/>
  <c r="AJ118" i="17"/>
  <c r="AQ122" i="17"/>
  <c r="AL142" i="17"/>
  <c r="AD122" i="17"/>
  <c r="AL122" i="17"/>
  <c r="AJ122" i="17"/>
  <c r="AQ115" i="17"/>
  <c r="AQ123" i="17"/>
  <c r="AQ117" i="17"/>
  <c r="AQ113" i="17"/>
  <c r="AQ119" i="17"/>
  <c r="AM145" i="17"/>
  <c r="AJ114" i="17"/>
  <c r="AM117" i="17"/>
  <c r="AN117" i="17"/>
  <c r="AQ118" i="17"/>
  <c r="AQ114" i="17"/>
  <c r="AJ142" i="17"/>
  <c r="AQ111" i="17"/>
  <c r="AP120" i="17"/>
  <c r="AM120" i="17"/>
  <c r="AO120" i="17"/>
  <c r="AO118" i="17"/>
  <c r="AP140" i="17"/>
  <c r="AP147" i="17"/>
  <c r="AQ133" i="17"/>
  <c r="AQ147" i="17"/>
  <c r="AB148" i="17"/>
  <c r="AO148" i="17"/>
  <c r="AN143" i="17"/>
  <c r="AE73" i="17"/>
  <c r="AD73" i="17"/>
  <c r="AJ116" i="17"/>
  <c r="AM142" i="17"/>
  <c r="AB124" i="17"/>
  <c r="AR108" i="17"/>
  <c r="AR121" i="17"/>
  <c r="AO142" i="17"/>
  <c r="AH115" i="17"/>
  <c r="AM139" i="17"/>
  <c r="AK114" i="17"/>
  <c r="AM141" i="17"/>
  <c r="AK141" i="17"/>
  <c r="AO146" i="17"/>
  <c r="AL116" i="17"/>
  <c r="AP146" i="17"/>
  <c r="AI115" i="17"/>
  <c r="AK118" i="17"/>
  <c r="AM116" i="17"/>
  <c r="AJ117" i="17"/>
  <c r="AM118" i="17"/>
  <c r="AJ140" i="17"/>
  <c r="AI139" i="17"/>
  <c r="AN118" i="17"/>
  <c r="AO141" i="17"/>
  <c r="AP142" i="17"/>
  <c r="AK117" i="17"/>
  <c r="AD74" i="17"/>
  <c r="AL140" i="17"/>
  <c r="AM144" i="17"/>
  <c r="AN141" i="17"/>
  <c r="AK142" i="17"/>
  <c r="AG138" i="17"/>
  <c r="AK138" i="17"/>
  <c r="AP144" i="17"/>
  <c r="AF42" i="17"/>
  <c r="AG42" i="17"/>
  <c r="AO143" i="17"/>
  <c r="AH114" i="17"/>
  <c r="AL143" i="17"/>
  <c r="AL119" i="17"/>
  <c r="AM119" i="17"/>
  <c r="AN119" i="17"/>
  <c r="AO119" i="17"/>
  <c r="AD72" i="17"/>
  <c r="AK137" i="17"/>
  <c r="AJ137" i="17"/>
  <c r="AG137" i="17"/>
  <c r="AH137" i="17"/>
  <c r="AE137" i="17"/>
  <c r="AL139" i="17"/>
  <c r="AJ141" i="17"/>
  <c r="AG114" i="17"/>
  <c r="AI116" i="17"/>
  <c r="AQ120" i="17"/>
  <c r="AK143" i="17"/>
  <c r="AL141" i="17"/>
  <c r="AK115" i="17"/>
  <c r="AP143" i="17"/>
  <c r="AF138" i="17"/>
  <c r="AH138" i="17"/>
  <c r="AF41" i="17"/>
  <c r="AE64" i="17"/>
  <c r="AE72" i="17"/>
  <c r="AN144" i="17"/>
  <c r="AL144" i="17"/>
  <c r="AK140" i="17"/>
  <c r="AH140" i="17"/>
  <c r="AI140" i="17"/>
  <c r="AI137" i="17"/>
  <c r="AF137" i="17"/>
  <c r="AF65" i="17"/>
  <c r="AF73" i="17"/>
  <c r="AL115" i="17"/>
  <c r="AG139" i="17"/>
  <c r="AJ139" i="17"/>
  <c r="AK139" i="17"/>
  <c r="AE66" i="17"/>
  <c r="AE74" i="17"/>
  <c r="AF43" i="17"/>
  <c r="AC111" i="17"/>
  <c r="AD110" i="17"/>
  <c r="AN140" i="17"/>
  <c r="AF148" i="17"/>
  <c r="AI138" i="17"/>
  <c r="AL138" i="17"/>
  <c r="AF113" i="17"/>
  <c r="AG113" i="17"/>
  <c r="AJ113" i="17"/>
  <c r="AH113" i="17"/>
  <c r="AI113" i="17"/>
  <c r="AP121" i="17"/>
  <c r="AO121" i="17"/>
  <c r="AN121" i="17"/>
  <c r="AQ121" i="17"/>
  <c r="AF44" i="17"/>
  <c r="AL148" i="17"/>
  <c r="AJ148" i="17"/>
  <c r="AQ145" i="17"/>
  <c r="AQ138" i="17"/>
  <c r="AB149" i="17"/>
  <c r="AN149" i="17"/>
  <c r="AQ143" i="17"/>
  <c r="AQ139" i="17"/>
  <c r="AQ144" i="17"/>
  <c r="AQ137" i="17"/>
  <c r="AQ141" i="17"/>
  <c r="AQ142" i="17"/>
  <c r="AQ146" i="17"/>
  <c r="AQ136" i="17"/>
  <c r="AR133" i="17"/>
  <c r="AR140" i="17"/>
  <c r="AQ140" i="17"/>
  <c r="AH148" i="17"/>
  <c r="AQ148" i="17"/>
  <c r="AI148" i="17"/>
  <c r="AG148" i="17"/>
  <c r="AK148" i="17"/>
  <c r="AN148" i="17"/>
  <c r="AE148" i="17"/>
  <c r="AP148" i="17"/>
  <c r="AM148" i="17"/>
  <c r="AD148" i="17"/>
  <c r="AS108" i="17"/>
  <c r="AB125" i="17"/>
  <c r="AR123" i="17"/>
  <c r="AR115" i="17"/>
  <c r="AR118" i="17"/>
  <c r="AR120" i="17"/>
  <c r="AR122" i="17"/>
  <c r="AR119" i="17"/>
  <c r="AR124" i="17"/>
  <c r="AR116" i="17"/>
  <c r="AR117" i="17"/>
  <c r="AR112" i="17"/>
  <c r="AR129" i="17" s="1"/>
  <c r="AR111" i="17"/>
  <c r="AR114" i="17"/>
  <c r="AR113" i="17"/>
  <c r="AD124" i="17"/>
  <c r="AG124" i="17"/>
  <c r="AK124" i="17"/>
  <c r="AN124" i="17"/>
  <c r="AQ124" i="17"/>
  <c r="AO124" i="17"/>
  <c r="AH124" i="17"/>
  <c r="AI124" i="17"/>
  <c r="AL124" i="17"/>
  <c r="AE124" i="17"/>
  <c r="AF124" i="17"/>
  <c r="AM124" i="17"/>
  <c r="AJ124" i="17"/>
  <c r="AP124" i="17"/>
  <c r="AF64" i="17"/>
  <c r="AF72" i="17"/>
  <c r="AG41" i="17"/>
  <c r="AF66" i="17"/>
  <c r="AF74" i="17"/>
  <c r="AG43" i="17"/>
  <c r="AH42" i="17"/>
  <c r="AG65" i="17"/>
  <c r="AG73" i="17"/>
  <c r="AH111" i="17"/>
  <c r="AG111" i="17"/>
  <c r="AF111" i="17"/>
  <c r="AD111" i="17"/>
  <c r="AE111" i="17"/>
  <c r="AR137" i="17"/>
  <c r="AR145" i="17"/>
  <c r="AG44" i="17"/>
  <c r="AR148" i="17"/>
  <c r="AP149" i="17"/>
  <c r="AQ149" i="17"/>
  <c r="AO149" i="17"/>
  <c r="AR136" i="17"/>
  <c r="AR154" i="17" s="1"/>
  <c r="AL149" i="17"/>
  <c r="AR142" i="17"/>
  <c r="AD149" i="17"/>
  <c r="AR143" i="17"/>
  <c r="AR146" i="17"/>
  <c r="AK149" i="17"/>
  <c r="AS133" i="17"/>
  <c r="AS139" i="17"/>
  <c r="AE149" i="17"/>
  <c r="AR139" i="17"/>
  <c r="AR141" i="17"/>
  <c r="AF149" i="17"/>
  <c r="AR144" i="17"/>
  <c r="AR149" i="17"/>
  <c r="AB150" i="17"/>
  <c r="AK150" i="17"/>
  <c r="AR138" i="17"/>
  <c r="AR147" i="17"/>
  <c r="AH149" i="17"/>
  <c r="AJ149" i="17"/>
  <c r="AI149" i="17"/>
  <c r="AM149" i="17"/>
  <c r="AG149" i="17"/>
  <c r="AO125" i="17"/>
  <c r="AQ125" i="17"/>
  <c r="AK125" i="17"/>
  <c r="AH125" i="17"/>
  <c r="AF125" i="17"/>
  <c r="AJ125" i="17"/>
  <c r="AI125" i="17"/>
  <c r="AG125" i="17"/>
  <c r="AD125" i="17"/>
  <c r="AL125" i="17"/>
  <c r="AP125" i="17"/>
  <c r="AE125" i="17"/>
  <c r="AN125" i="17"/>
  <c r="AM125" i="17"/>
  <c r="AR125" i="17"/>
  <c r="AS115" i="17"/>
  <c r="AS120" i="17"/>
  <c r="AS123" i="17"/>
  <c r="AS116" i="17"/>
  <c r="AS121" i="17"/>
  <c r="AS111" i="17"/>
  <c r="AS124" i="17"/>
  <c r="AS114" i="17"/>
  <c r="AS117" i="17"/>
  <c r="AS125" i="17"/>
  <c r="AS112" i="17"/>
  <c r="AS113" i="17"/>
  <c r="AS118" i="17"/>
  <c r="AS122" i="17"/>
  <c r="AS119" i="17"/>
  <c r="AB126" i="17"/>
  <c r="AS126" i="17"/>
  <c r="AH41" i="17"/>
  <c r="AG64" i="17"/>
  <c r="AG72" i="17"/>
  <c r="AI42" i="17"/>
  <c r="AH65" i="17"/>
  <c r="AH73" i="17"/>
  <c r="AG66" i="17"/>
  <c r="AG74" i="17"/>
  <c r="AH43" i="17"/>
  <c r="AI150" i="17"/>
  <c r="AH150" i="17"/>
  <c r="AF150" i="17"/>
  <c r="AM150" i="17"/>
  <c r="AN150" i="17"/>
  <c r="AJ150" i="17"/>
  <c r="AO150" i="17"/>
  <c r="AG150" i="17"/>
  <c r="AE150" i="17"/>
  <c r="AL150" i="17"/>
  <c r="AP150" i="17"/>
  <c r="AQ150" i="17"/>
  <c r="AH44" i="17"/>
  <c r="AS141" i="17"/>
  <c r="AS140" i="17"/>
  <c r="AS137" i="17"/>
  <c r="AS149" i="17"/>
  <c r="AS145" i="17"/>
  <c r="AS142" i="17"/>
  <c r="AS148" i="17"/>
  <c r="AS138" i="17"/>
  <c r="AS136" i="17"/>
  <c r="AS154" i="17" s="1"/>
  <c r="AS150" i="17"/>
  <c r="AS144" i="17"/>
  <c r="AB151" i="17"/>
  <c r="AS146" i="17"/>
  <c r="AS143" i="17"/>
  <c r="AR150" i="17"/>
  <c r="AD150" i="17"/>
  <c r="AS147" i="17"/>
  <c r="AS129" i="17"/>
  <c r="AO126" i="17"/>
  <c r="AO129" i="17"/>
  <c r="AO160" i="17" s="1"/>
  <c r="AP126" i="17"/>
  <c r="AP129" i="17"/>
  <c r="AR126" i="17"/>
  <c r="AK126" i="17"/>
  <c r="AK129" i="17"/>
  <c r="AF126" i="17"/>
  <c r="AE126" i="17"/>
  <c r="AJ126" i="17"/>
  <c r="AJ129" i="17"/>
  <c r="AD126" i="17"/>
  <c r="AQ126" i="17"/>
  <c r="AH126" i="17"/>
  <c r="AL126" i="17"/>
  <c r="AL129" i="17"/>
  <c r="AI126" i="17"/>
  <c r="AG126" i="17"/>
  <c r="AN126" i="17"/>
  <c r="AN129" i="17"/>
  <c r="AM126" i="17"/>
  <c r="AH64" i="17"/>
  <c r="AH72" i="17"/>
  <c r="AI41" i="17"/>
  <c r="AI43" i="17"/>
  <c r="AH66" i="17"/>
  <c r="AH74" i="17"/>
  <c r="AJ42" i="17"/>
  <c r="AI65" i="17"/>
  <c r="AI73" i="17"/>
  <c r="AJ151" i="17"/>
  <c r="AI151" i="17"/>
  <c r="AO151" i="17"/>
  <c r="AO154" i="17"/>
  <c r="AK151" i="17"/>
  <c r="AG151" i="17"/>
  <c r="AF151" i="17"/>
  <c r="AP151" i="17"/>
  <c r="AH151" i="17"/>
  <c r="AL151" i="17"/>
  <c r="AL154" i="17"/>
  <c r="AN151" i="17"/>
  <c r="AN154" i="17"/>
  <c r="AN160" i="17" s="1"/>
  <c r="AM151" i="17"/>
  <c r="AE151" i="17"/>
  <c r="AD151" i="17"/>
  <c r="AQ151" i="17"/>
  <c r="AQ154" i="17"/>
  <c r="AR151" i="17"/>
  <c r="AS151" i="17"/>
  <c r="AI44" i="17"/>
  <c r="AJ41" i="17"/>
  <c r="AI64" i="17"/>
  <c r="AI72" i="17"/>
  <c r="AK42" i="17"/>
  <c r="AJ65" i="17"/>
  <c r="AJ73" i="17"/>
  <c r="AJ43" i="17"/>
  <c r="AI66" i="17"/>
  <c r="AI74" i="17"/>
  <c r="AJ44" i="17"/>
  <c r="AK41" i="17"/>
  <c r="AJ64" i="17"/>
  <c r="AJ72" i="17"/>
  <c r="AK43" i="17"/>
  <c r="AJ66" i="17"/>
  <c r="AJ74" i="17"/>
  <c r="AL42" i="17"/>
  <c r="AK65" i="17"/>
  <c r="AK73" i="17"/>
  <c r="AK44" i="17"/>
  <c r="AK64" i="17"/>
  <c r="AK72" i="17"/>
  <c r="AL41" i="17"/>
  <c r="AL65" i="17"/>
  <c r="AL73" i="17"/>
  <c r="AM42" i="17"/>
  <c r="AL43" i="17"/>
  <c r="AK66" i="17"/>
  <c r="AK74" i="17"/>
  <c r="AL44" i="17"/>
  <c r="AL64" i="17"/>
  <c r="AL72" i="17"/>
  <c r="AM41" i="17"/>
  <c r="AL66" i="17"/>
  <c r="AL74" i="17"/>
  <c r="AM43" i="17"/>
  <c r="AN42" i="17"/>
  <c r="AN65" i="17"/>
  <c r="AN73" i="17"/>
  <c r="AM65" i="17"/>
  <c r="AM73" i="17"/>
  <c r="AM44" i="17"/>
  <c r="AN41" i="17"/>
  <c r="AN64" i="17"/>
  <c r="AN72" i="17"/>
  <c r="AM64" i="17"/>
  <c r="AM72" i="17"/>
  <c r="AN43" i="17"/>
  <c r="AN66" i="17"/>
  <c r="AN74" i="17"/>
  <c r="AM66" i="17"/>
  <c r="AJ136" i="17" l="1"/>
  <c r="AJ154" i="17" s="1"/>
  <c r="AG136" i="17"/>
  <c r="AG154" i="17" s="1"/>
  <c r="AI136" i="17"/>
  <c r="AI154" i="17" s="1"/>
  <c r="AF136" i="17"/>
  <c r="AF154" i="17" s="1"/>
  <c r="AE136" i="17"/>
  <c r="AE154" i="17" s="1"/>
  <c r="AD136" i="17"/>
  <c r="AD154" i="17" s="1"/>
  <c r="AD160" i="17" s="1"/>
  <c r="AH136" i="17"/>
  <c r="AH154" i="17" s="1"/>
  <c r="AP160" i="17"/>
  <c r="AS160" i="17"/>
  <c r="AK160" i="17"/>
  <c r="AE135" i="17"/>
  <c r="AL160" i="17"/>
  <c r="AJ160" i="17"/>
  <c r="Z23" i="17"/>
  <c r="Y26" i="17"/>
  <c r="AC35" i="17" s="1"/>
  <c r="AC86" i="17" s="1"/>
  <c r="AC90" i="17" s="1"/>
  <c r="AK91" i="17"/>
  <c r="AK47" i="17"/>
  <c r="AK54" i="17" s="1"/>
  <c r="AL55" i="17"/>
  <c r="AL62" i="17" s="1"/>
  <c r="AL91" i="17"/>
  <c r="AE78" i="17"/>
  <c r="AF40" i="17"/>
  <c r="AE71" i="17"/>
  <c r="AD71" i="17"/>
  <c r="AD54" i="17"/>
  <c r="AD78" i="17" s="1"/>
  <c r="AE100" i="17"/>
  <c r="AE109" i="17" s="1"/>
  <c r="AM160" i="17"/>
  <c r="AE110" i="17"/>
  <c r="AC112" i="17"/>
  <c r="AR160" i="17"/>
  <c r="AQ160" i="17"/>
  <c r="AN55" i="17"/>
  <c r="AN62" i="17" s="1"/>
  <c r="AN47" i="17"/>
  <c r="W25" i="17"/>
  <c r="AC34" i="17" s="1"/>
  <c r="AC85" i="17" s="1"/>
  <c r="AC89" i="17" s="1"/>
  <c r="T25" i="17"/>
  <c r="X25" i="17"/>
  <c r="AF34" i="17"/>
  <c r="AF85" i="17" s="1"/>
  <c r="AF89" i="17" s="1"/>
  <c r="AH34" i="17"/>
  <c r="AH85" i="17" s="1"/>
  <c r="AH89" i="17" s="1"/>
  <c r="AA34" i="17"/>
  <c r="AA85" i="17" s="1"/>
  <c r="AA89" i="17" s="1"/>
  <c r="AG7" i="17"/>
  <c r="AN34" i="17"/>
  <c r="AN85" i="17" s="1"/>
  <c r="AN89" i="17" s="1"/>
  <c r="AK7" i="17"/>
  <c r="AJ34" i="17"/>
  <c r="AJ85" i="17" s="1"/>
  <c r="AJ89" i="17" s="1"/>
  <c r="AB34" i="17"/>
  <c r="AB85" i="17" s="1"/>
  <c r="AB89" i="17" s="1"/>
  <c r="AB32" i="17"/>
  <c r="AB83" i="17" s="1"/>
  <c r="W24" i="17"/>
  <c r="AG34" i="17"/>
  <c r="AG85" i="17" s="1"/>
  <c r="AG89" i="17" s="1"/>
  <c r="S24" i="17"/>
  <c r="AG33" i="17" s="1"/>
  <c r="AG84" i="17" s="1"/>
  <c r="AG88" i="17" s="1"/>
  <c r="Y32" i="17"/>
  <c r="Y83" i="17" s="1"/>
  <c r="Y87" i="17" s="1"/>
  <c r="T32" i="17"/>
  <c r="T83" i="17" s="1"/>
  <c r="T87" i="17" s="1"/>
  <c r="AL7" i="17"/>
  <c r="T24" i="17"/>
  <c r="AH7" i="17"/>
  <c r="AN32" i="17"/>
  <c r="AN83" i="17" s="1"/>
  <c r="AN7" i="17"/>
  <c r="AF7" i="17"/>
  <c r="AJ7" i="17"/>
  <c r="AM7" i="17"/>
  <c r="AI7" i="17"/>
  <c r="AG32" i="17"/>
  <c r="AC32" i="17"/>
  <c r="AC83" i="17" s="1"/>
  <c r="AC87" i="17" s="1"/>
  <c r="U32" i="17"/>
  <c r="U83" i="17" s="1"/>
  <c r="T34" i="17"/>
  <c r="T85" i="17" s="1"/>
  <c r="T89" i="17" s="1"/>
  <c r="AK32" i="17"/>
  <c r="AK83" i="17" s="1"/>
  <c r="AK87" i="17" s="1"/>
  <c r="AE32" i="17"/>
  <c r="AH32" i="17"/>
  <c r="AH83" i="17" s="1"/>
  <c r="AH87" i="17" s="1"/>
  <c r="AD32" i="17"/>
  <c r="AD83" i="17" s="1"/>
  <c r="AD87" i="17" s="1"/>
  <c r="V34" i="17"/>
  <c r="V85" i="17" s="1"/>
  <c r="V89" i="17" s="1"/>
  <c r="U34" i="17"/>
  <c r="U85" i="17" s="1"/>
  <c r="U89" i="17" s="1"/>
  <c r="X34" i="17"/>
  <c r="X85" i="17" s="1"/>
  <c r="X89" i="17" s="1"/>
  <c r="AI32" i="17"/>
  <c r="AI83" i="17" s="1"/>
  <c r="AI87" i="17" s="1"/>
  <c r="X32" i="17"/>
  <c r="AL34" i="17"/>
  <c r="AL85" i="17" s="1"/>
  <c r="AL89" i="17" s="1"/>
  <c r="W32" i="17"/>
  <c r="W83" i="17" s="1"/>
  <c r="W87" i="17" s="1"/>
  <c r="AA32" i="17"/>
  <c r="AA83" i="17" s="1"/>
  <c r="AM32" i="17"/>
  <c r="V32" i="17"/>
  <c r="AE34" i="17"/>
  <c r="AE85" i="17" s="1"/>
  <c r="AE89" i="17" s="1"/>
  <c r="AK34" i="17"/>
  <c r="AK85" i="17" s="1"/>
  <c r="AK89" i="17" s="1"/>
  <c r="AF32" i="17"/>
  <c r="Y34" i="17"/>
  <c r="Y85" i="17" s="1"/>
  <c r="Y89" i="17" s="1"/>
  <c r="Z34" i="17"/>
  <c r="Z85" i="17" s="1"/>
  <c r="Z89" i="17" s="1"/>
  <c r="AM34" i="17"/>
  <c r="AM85" i="17" s="1"/>
  <c r="AM89" i="17" s="1"/>
  <c r="AJ32" i="17"/>
  <c r="Z32" i="17"/>
  <c r="AL32" i="17"/>
  <c r="W34" i="17"/>
  <c r="AE7" i="17"/>
  <c r="AI34" i="17"/>
  <c r="AE153" i="17" l="1"/>
  <c r="AE152" i="17" s="1"/>
  <c r="AF135" i="17"/>
  <c r="AF153" i="17"/>
  <c r="AG153" i="17" s="1"/>
  <c r="AH153" i="17" s="1"/>
  <c r="AI153" i="17" s="1"/>
  <c r="AJ153" i="17" s="1"/>
  <c r="AK153" i="17" s="1"/>
  <c r="AL153" i="17" s="1"/>
  <c r="AM153" i="17" s="1"/>
  <c r="AN153" i="17" s="1"/>
  <c r="AO153" i="17" s="1"/>
  <c r="AP153" i="17" s="1"/>
  <c r="AQ153" i="17" s="1"/>
  <c r="AR153" i="17" s="1"/>
  <c r="AS153" i="17" s="1"/>
  <c r="AB87" i="17"/>
  <c r="U87" i="17"/>
  <c r="AN87" i="17"/>
  <c r="AJ33" i="17"/>
  <c r="AJ84" i="17" s="1"/>
  <c r="AJ88" i="17" s="1"/>
  <c r="AA87" i="17"/>
  <c r="AD34" i="17"/>
  <c r="AD85" i="17" s="1"/>
  <c r="AD89" i="17" s="1"/>
  <c r="AL35" i="17"/>
  <c r="AL86" i="17" s="1"/>
  <c r="AL90" i="17" s="1"/>
  <c r="Z35" i="17"/>
  <c r="Z86" i="17" s="1"/>
  <c r="Z90" i="17" s="1"/>
  <c r="AF35" i="17"/>
  <c r="AF86" i="17" s="1"/>
  <c r="AF90" i="17" s="1"/>
  <c r="U35" i="17"/>
  <c r="U86" i="17" s="1"/>
  <c r="U90" i="17" s="1"/>
  <c r="AM35" i="17"/>
  <c r="AM86" i="17" s="1"/>
  <c r="AM90" i="17" s="1"/>
  <c r="X35" i="17"/>
  <c r="X86" i="17" s="1"/>
  <c r="X90" i="17" s="1"/>
  <c r="AB35" i="17"/>
  <c r="AB86" i="17" s="1"/>
  <c r="AB90" i="17" s="1"/>
  <c r="AE35" i="17"/>
  <c r="AE86" i="17" s="1"/>
  <c r="AE90" i="17" s="1"/>
  <c r="AI35" i="17"/>
  <c r="AI86" i="17" s="1"/>
  <c r="AI90" i="17" s="1"/>
  <c r="Y35" i="17"/>
  <c r="Y86" i="17" s="1"/>
  <c r="Y90" i="17" s="1"/>
  <c r="W35" i="17"/>
  <c r="W86" i="17" s="1"/>
  <c r="W90" i="17" s="1"/>
  <c r="T35" i="17"/>
  <c r="T86" i="17" s="1"/>
  <c r="T90" i="17" s="1"/>
  <c r="AK35" i="17"/>
  <c r="AK86" i="17" s="1"/>
  <c r="AK90" i="17" s="1"/>
  <c r="AN35" i="17"/>
  <c r="AN86" i="17" s="1"/>
  <c r="AN90" i="17" s="1"/>
  <c r="AA35" i="17"/>
  <c r="AA86" i="17" s="1"/>
  <c r="AA90" i="17" s="1"/>
  <c r="AH35" i="17"/>
  <c r="AH86" i="17" s="1"/>
  <c r="AH90" i="17" s="1"/>
  <c r="AD35" i="17"/>
  <c r="AD86" i="17" s="1"/>
  <c r="AD90" i="17" s="1"/>
  <c r="V35" i="17"/>
  <c r="V86" i="17" s="1"/>
  <c r="V90" i="17" s="1"/>
  <c r="AG35" i="17"/>
  <c r="AG86" i="17" s="1"/>
  <c r="AG90" i="17" s="1"/>
  <c r="AJ35" i="17"/>
  <c r="AJ86" i="17" s="1"/>
  <c r="AJ90" i="17" s="1"/>
  <c r="AF63" i="17"/>
  <c r="AG40" i="17"/>
  <c r="AH112" i="17"/>
  <c r="AH129" i="17" s="1"/>
  <c r="AI112" i="17"/>
  <c r="AI129" i="17" s="1"/>
  <c r="AF112" i="17"/>
  <c r="AF129" i="17" s="1"/>
  <c r="AG112" i="17"/>
  <c r="AG129" i="17" s="1"/>
  <c r="AE112" i="17"/>
  <c r="AE129" i="17" s="1"/>
  <c r="AF110" i="17"/>
  <c r="AN54" i="17"/>
  <c r="W33" i="17"/>
  <c r="AC33" i="17"/>
  <c r="AC84" i="17" s="1"/>
  <c r="AC88" i="17" s="1"/>
  <c r="AD33" i="17"/>
  <c r="AD84" i="17" s="1"/>
  <c r="AD88" i="17" s="1"/>
  <c r="Y33" i="17"/>
  <c r="Y84" i="17" s="1"/>
  <c r="Y88" i="17" s="1"/>
  <c r="AL33" i="17"/>
  <c r="AL84" i="17" s="1"/>
  <c r="AL88" i="17" s="1"/>
  <c r="Z33" i="17"/>
  <c r="Z84" i="17" s="1"/>
  <c r="Z88" i="17" s="1"/>
  <c r="AH33" i="17"/>
  <c r="AH84" i="17" s="1"/>
  <c r="AH88" i="17" s="1"/>
  <c r="T33" i="17"/>
  <c r="T84" i="17" s="1"/>
  <c r="T88" i="17" s="1"/>
  <c r="AI33" i="17"/>
  <c r="AI84" i="17" s="1"/>
  <c r="AI88" i="17" s="1"/>
  <c r="U33" i="17"/>
  <c r="U84" i="17" s="1"/>
  <c r="U88" i="17" s="1"/>
  <c r="AM33" i="17"/>
  <c r="AM84" i="17" s="1"/>
  <c r="AM88" i="17" s="1"/>
  <c r="AA33" i="17"/>
  <c r="AA84" i="17" s="1"/>
  <c r="AA88" i="17" s="1"/>
  <c r="AF33" i="17"/>
  <c r="AF84" i="17" s="1"/>
  <c r="AF88" i="17" s="1"/>
  <c r="AE33" i="17"/>
  <c r="AE84" i="17" s="1"/>
  <c r="AE88" i="17" s="1"/>
  <c r="AK33" i="17"/>
  <c r="AK84" i="17" s="1"/>
  <c r="AK88" i="17" s="1"/>
  <c r="X33" i="17"/>
  <c r="X84" i="17" s="1"/>
  <c r="X88" i="17" s="1"/>
  <c r="V33" i="17"/>
  <c r="V84" i="17" s="1"/>
  <c r="V88" i="17" s="1"/>
  <c r="AN33" i="17"/>
  <c r="AN84" i="17" s="1"/>
  <c r="AN88" i="17" s="1"/>
  <c r="AB33" i="17"/>
  <c r="AB84" i="17" s="1"/>
  <c r="AB88" i="17" s="1"/>
  <c r="R32" i="17"/>
  <c r="V83" i="17"/>
  <c r="V87" i="17" s="1"/>
  <c r="AF83" i="17"/>
  <c r="AF87" i="17" s="1"/>
  <c r="AM83" i="17"/>
  <c r="AM87" i="17" s="1"/>
  <c r="AE83" i="17"/>
  <c r="AE87" i="17" s="1"/>
  <c r="X83" i="17"/>
  <c r="X87" i="17" s="1"/>
  <c r="AG83" i="17"/>
  <c r="AG87" i="17" s="1"/>
  <c r="R34" i="17"/>
  <c r="W85" i="17"/>
  <c r="W89" i="17" s="1"/>
  <c r="AL83" i="17"/>
  <c r="AL87" i="17" s="1"/>
  <c r="Z83" i="17"/>
  <c r="Z87" i="17" s="1"/>
  <c r="AJ83" i="17"/>
  <c r="AJ87" i="17" s="1"/>
  <c r="AJ6" i="17"/>
  <c r="AI85" i="17"/>
  <c r="AI89" i="17" s="1"/>
  <c r="AF152" i="17" l="1"/>
  <c r="AG135" i="17"/>
  <c r="W6" i="17"/>
  <c r="W84" i="17"/>
  <c r="W88" i="17" s="1"/>
  <c r="AG6" i="17"/>
  <c r="R35" i="17"/>
  <c r="AI6" i="17"/>
  <c r="AH6" i="17"/>
  <c r="U6" i="17"/>
  <c r="U17" i="17" s="1"/>
  <c r="AG63" i="17"/>
  <c r="AH40" i="17"/>
  <c r="AF70" i="17"/>
  <c r="AF78" i="17" s="1"/>
  <c r="AF71" i="17"/>
  <c r="AE128" i="17"/>
  <c r="AE127" i="17" s="1"/>
  <c r="AE160" i="17"/>
  <c r="AG110" i="17"/>
  <c r="AG160" i="17"/>
  <c r="AF128" i="17"/>
  <c r="AF127" i="17" s="1"/>
  <c r="AF160" i="17"/>
  <c r="AI160" i="17"/>
  <c r="AH160" i="17"/>
  <c r="AF6" i="17"/>
  <c r="AL6" i="17"/>
  <c r="AA6" i="17"/>
  <c r="AB6" i="17" s="1"/>
  <c r="Y6" i="17"/>
  <c r="Y16" i="17" s="1"/>
  <c r="T6" i="17"/>
  <c r="T5" i="17" s="1"/>
  <c r="T16" i="17" s="1"/>
  <c r="Z6" i="17"/>
  <c r="Z17" i="17" s="1"/>
  <c r="AM6" i="17"/>
  <c r="X6" i="17"/>
  <c r="X17" i="17" s="1"/>
  <c r="AN6" i="17"/>
  <c r="V6" i="17"/>
  <c r="V16" i="17" s="1"/>
  <c r="AK6" i="17"/>
  <c r="R33" i="17"/>
  <c r="W16" i="17"/>
  <c r="W17" i="17"/>
  <c r="AG152" i="17" l="1"/>
  <c r="AH135" i="17"/>
  <c r="U16" i="17"/>
  <c r="AA16" i="17"/>
  <c r="AH63" i="17"/>
  <c r="AI40" i="17"/>
  <c r="AG71" i="17"/>
  <c r="AG70" i="17"/>
  <c r="AG78" i="17" s="1"/>
  <c r="AG128" i="17"/>
  <c r="AH128" i="17" s="1"/>
  <c r="AI128" i="17" s="1"/>
  <c r="AJ128" i="17" s="1"/>
  <c r="AK128" i="17" s="1"/>
  <c r="AL128" i="17" s="1"/>
  <c r="AM128" i="17" s="1"/>
  <c r="AN128" i="17" s="1"/>
  <c r="AO128" i="17" s="1"/>
  <c r="AP128" i="17" s="1"/>
  <c r="AQ128" i="17" s="1"/>
  <c r="AR128" i="17" s="1"/>
  <c r="AS128" i="17" s="1"/>
  <c r="AH110" i="17"/>
  <c r="AG127" i="17"/>
  <c r="X16" i="17"/>
  <c r="Z16" i="17"/>
  <c r="Y17" i="17"/>
  <c r="T17" i="17"/>
  <c r="V17" i="17"/>
  <c r="AC6" i="17"/>
  <c r="AI135" i="17" l="1"/>
  <c r="AH152" i="17"/>
  <c r="AA17" i="17"/>
  <c r="AJ40" i="17"/>
  <c r="AI63" i="17"/>
  <c r="AH71" i="17"/>
  <c r="AH70" i="17"/>
  <c r="AH78" i="17" s="1"/>
  <c r="AI110" i="17"/>
  <c r="AH127" i="17"/>
  <c r="E8" i="4"/>
  <c r="AD6" i="17"/>
  <c r="AE6" i="17" s="1"/>
  <c r="AB16" i="17"/>
  <c r="AB17" i="17"/>
  <c r="AI152" i="17" l="1"/>
  <c r="AJ135" i="17"/>
  <c r="AD5" i="17"/>
  <c r="AD14" i="17" s="1"/>
  <c r="AI70" i="17"/>
  <c r="AI78" i="17" s="1"/>
  <c r="AI71" i="17"/>
  <c r="AJ63" i="17"/>
  <c r="AK40" i="17"/>
  <c r="AJ110" i="17"/>
  <c r="AI127" i="17"/>
  <c r="AC16" i="17"/>
  <c r="E7" i="4"/>
  <c r="E9" i="4"/>
  <c r="E6" i="4"/>
  <c r="F8" i="4"/>
  <c r="F11" i="4" s="1"/>
  <c r="E25" i="4"/>
  <c r="E17" i="4"/>
  <c r="E13" i="4"/>
  <c r="E10" i="4"/>
  <c r="E14" i="4"/>
  <c r="E28" i="4"/>
  <c r="E11" i="4"/>
  <c r="E15" i="4"/>
  <c r="E16" i="4"/>
  <c r="E18" i="4"/>
  <c r="AC17" i="17"/>
  <c r="E19" i="4" s="1"/>
  <c r="AK135" i="17" l="1"/>
  <c r="AJ152" i="17"/>
  <c r="AD19" i="17"/>
  <c r="AD17" i="17"/>
  <c r="AD11" i="17"/>
  <c r="AD13" i="17"/>
  <c r="AD12" i="17"/>
  <c r="AD10" i="17"/>
  <c r="AD18" i="17"/>
  <c r="AD16" i="17"/>
  <c r="AD15" i="17"/>
  <c r="AE5" i="17"/>
  <c r="AE18" i="17" s="1"/>
  <c r="AD9" i="17"/>
  <c r="AD8" i="17"/>
  <c r="E20" i="4"/>
  <c r="E21" i="4" s="1"/>
  <c r="AK63" i="17"/>
  <c r="AL40" i="17"/>
  <c r="AJ71" i="17"/>
  <c r="AJ70" i="17"/>
  <c r="AJ78" i="17" s="1"/>
  <c r="AJ127" i="17"/>
  <c r="AK110" i="17"/>
  <c r="E22" i="4"/>
  <c r="F16" i="4"/>
  <c r="F6" i="4"/>
  <c r="F10" i="4"/>
  <c r="F14" i="4"/>
  <c r="E12" i="4"/>
  <c r="G8" i="4"/>
  <c r="F28" i="4"/>
  <c r="F7" i="4"/>
  <c r="F25" i="4"/>
  <c r="F13" i="4"/>
  <c r="F18" i="4"/>
  <c r="F15" i="4"/>
  <c r="F17" i="4"/>
  <c r="F19" i="4"/>
  <c r="F9" i="4"/>
  <c r="AK152" i="17" l="1"/>
  <c r="AL135" i="17"/>
  <c r="AE9" i="17"/>
  <c r="AE10" i="17"/>
  <c r="AF5" i="17"/>
  <c r="AF17" i="17" s="1"/>
  <c r="AE13" i="17"/>
  <c r="AE11" i="17"/>
  <c r="AE8" i="17"/>
  <c r="AE12" i="17"/>
  <c r="AE14" i="17"/>
  <c r="AE15" i="17"/>
  <c r="AE16" i="17"/>
  <c r="AE19" i="17"/>
  <c r="AE17" i="17"/>
  <c r="H8" i="4"/>
  <c r="H7" i="4" s="1"/>
  <c r="AL63" i="17"/>
  <c r="AM40" i="17"/>
  <c r="AK70" i="17"/>
  <c r="AK78" i="17" s="1"/>
  <c r="AK71" i="17"/>
  <c r="AK127" i="17"/>
  <c r="AL110" i="17"/>
  <c r="E23" i="4"/>
  <c r="E26" i="4" s="1"/>
  <c r="E29" i="4" s="1"/>
  <c r="E33" i="4" s="1"/>
  <c r="F12" i="4"/>
  <c r="E24" i="4"/>
  <c r="E27" i="4" s="1"/>
  <c r="E30" i="4" s="1"/>
  <c r="E34" i="4" s="1"/>
  <c r="G9" i="4"/>
  <c r="G15" i="4"/>
  <c r="F22" i="4"/>
  <c r="G14" i="4"/>
  <c r="F20" i="4"/>
  <c r="F21" i="4" s="1"/>
  <c r="G18" i="4"/>
  <c r="G7" i="4"/>
  <c r="G19" i="4"/>
  <c r="G10" i="4"/>
  <c r="G28" i="4"/>
  <c r="G25" i="4"/>
  <c r="G11" i="4"/>
  <c r="G17" i="4"/>
  <c r="G13" i="4"/>
  <c r="G6" i="4"/>
  <c r="G16" i="4"/>
  <c r="AF16" i="17"/>
  <c r="AF18" i="17"/>
  <c r="AF19" i="17"/>
  <c r="AG5" i="17"/>
  <c r="AF13" i="17"/>
  <c r="AF8" i="17"/>
  <c r="AF14" i="17"/>
  <c r="AF9" i="17"/>
  <c r="I8" i="4" l="1"/>
  <c r="AM135" i="17"/>
  <c r="AL152" i="17"/>
  <c r="H25" i="4"/>
  <c r="H6" i="4"/>
  <c r="H19" i="4"/>
  <c r="AF10" i="17"/>
  <c r="AF11" i="17"/>
  <c r="AF15" i="17"/>
  <c r="AF12" i="17"/>
  <c r="H14" i="4" s="1"/>
  <c r="H18" i="4"/>
  <c r="H20" i="4" s="1"/>
  <c r="H16" i="4"/>
  <c r="H15" i="4"/>
  <c r="H28" i="4"/>
  <c r="H9" i="4"/>
  <c r="H13" i="4"/>
  <c r="H10" i="4"/>
  <c r="H17" i="4"/>
  <c r="H11" i="4"/>
  <c r="F24" i="4"/>
  <c r="F27" i="4" s="1"/>
  <c r="F30" i="4" s="1"/>
  <c r="F34" i="4" s="1"/>
  <c r="E31" i="4"/>
  <c r="AM63" i="17"/>
  <c r="AN40" i="17"/>
  <c r="AN63" i="17" s="1"/>
  <c r="AL71" i="17"/>
  <c r="AL70" i="17"/>
  <c r="AL78" i="17" s="1"/>
  <c r="G20" i="4"/>
  <c r="G21" i="4" s="1"/>
  <c r="F23" i="4"/>
  <c r="F26" i="4" s="1"/>
  <c r="F29" i="4" s="1"/>
  <c r="F33" i="4" s="1"/>
  <c r="AL127" i="17"/>
  <c r="AM110" i="17"/>
  <c r="G12" i="4"/>
  <c r="E32" i="4"/>
  <c r="G22" i="4"/>
  <c r="I7" i="4"/>
  <c r="I6" i="4"/>
  <c r="I9" i="4"/>
  <c r="AG15" i="17"/>
  <c r="AG18" i="17"/>
  <c r="I25" i="4" s="1"/>
  <c r="AG8" i="17"/>
  <c r="AG11" i="17"/>
  <c r="I13" i="4" s="1"/>
  <c r="AG14" i="17"/>
  <c r="I16" i="4" s="1"/>
  <c r="AG19" i="17"/>
  <c r="I28" i="4" s="1"/>
  <c r="AG16" i="17"/>
  <c r="I18" i="4" s="1"/>
  <c r="AG10" i="17"/>
  <c r="AG17" i="17"/>
  <c r="I19" i="4" s="1"/>
  <c r="AG13" i="17"/>
  <c r="I15" i="4" s="1"/>
  <c r="AG12" i="17"/>
  <c r="AG9" i="17"/>
  <c r="I10" i="4" s="1"/>
  <c r="AH5" i="17"/>
  <c r="J8" i="4" s="1"/>
  <c r="AN135" i="17" l="1"/>
  <c r="AM152" i="17"/>
  <c r="H12" i="4"/>
  <c r="I17" i="4"/>
  <c r="I11" i="4"/>
  <c r="I12" i="4" s="1"/>
  <c r="I14" i="4"/>
  <c r="I22" i="4" s="1"/>
  <c r="H22" i="4"/>
  <c r="H24" i="4" s="1"/>
  <c r="H27" i="4" s="1"/>
  <c r="H30" i="4" s="1"/>
  <c r="H34" i="4" s="1"/>
  <c r="H21" i="4"/>
  <c r="H23" i="4" s="1"/>
  <c r="H26" i="4" s="1"/>
  <c r="H29" i="4" s="1"/>
  <c r="F32" i="4"/>
  <c r="AN70" i="17"/>
  <c r="AN78" i="17" s="1"/>
  <c r="AN71" i="17"/>
  <c r="AM71" i="17"/>
  <c r="AM70" i="17"/>
  <c r="AM78" i="17" s="1"/>
  <c r="G24" i="4"/>
  <c r="G27" i="4" s="1"/>
  <c r="G30" i="4" s="1"/>
  <c r="G34" i="4" s="1"/>
  <c r="AM127" i="17"/>
  <c r="AN110" i="17"/>
  <c r="F31" i="4"/>
  <c r="G23" i="4"/>
  <c r="G26" i="4" s="1"/>
  <c r="G29" i="4" s="1"/>
  <c r="I20" i="4"/>
  <c r="J25" i="4"/>
  <c r="J11" i="4"/>
  <c r="J7" i="4"/>
  <c r="J6" i="4"/>
  <c r="J13" i="4"/>
  <c r="J17" i="4"/>
  <c r="AH12" i="17"/>
  <c r="J14" i="4" s="1"/>
  <c r="AH9" i="17"/>
  <c r="J10" i="4" s="1"/>
  <c r="AH15" i="17"/>
  <c r="AH11" i="17"/>
  <c r="AH16" i="17"/>
  <c r="J18" i="4" s="1"/>
  <c r="AH13" i="17"/>
  <c r="J15" i="4" s="1"/>
  <c r="AH19" i="17"/>
  <c r="J28" i="4" s="1"/>
  <c r="AH8" i="17"/>
  <c r="J9" i="4" s="1"/>
  <c r="AH17" i="17"/>
  <c r="J19" i="4" s="1"/>
  <c r="AH14" i="17"/>
  <c r="J16" i="4" s="1"/>
  <c r="AH18" i="17"/>
  <c r="AH10" i="17"/>
  <c r="AI5" i="17"/>
  <c r="K8" i="4" s="1"/>
  <c r="AO135" i="17" l="1"/>
  <c r="AN152" i="17"/>
  <c r="I21" i="4"/>
  <c r="G32" i="4"/>
  <c r="H32" i="4" s="1"/>
  <c r="G31" i="4"/>
  <c r="H31" i="4" s="1"/>
  <c r="G33" i="4"/>
  <c r="AO110" i="17"/>
  <c r="AN127" i="17"/>
  <c r="I24" i="4"/>
  <c r="I27" i="4" s="1"/>
  <c r="I30" i="4" s="1"/>
  <c r="H33" i="4"/>
  <c r="J12" i="4"/>
  <c r="I23" i="4"/>
  <c r="I26" i="4" s="1"/>
  <c r="I29" i="4" s="1"/>
  <c r="J22" i="4"/>
  <c r="J20" i="4"/>
  <c r="J21" i="4" s="1"/>
  <c r="AI19" i="17"/>
  <c r="AI12" i="17"/>
  <c r="AI15" i="17"/>
  <c r="K17" i="4" s="1"/>
  <c r="AI14" i="17"/>
  <c r="K16" i="4" s="1"/>
  <c r="AI10" i="17"/>
  <c r="AI17" i="17"/>
  <c r="AI18" i="17"/>
  <c r="AI11" i="17"/>
  <c r="K13" i="4" s="1"/>
  <c r="AI16" i="17"/>
  <c r="K18" i="4" s="1"/>
  <c r="AI13" i="17"/>
  <c r="AI9" i="17"/>
  <c r="K10" i="4" s="1"/>
  <c r="AI8" i="17"/>
  <c r="K9" i="4" s="1"/>
  <c r="AJ5" i="17"/>
  <c r="K25" i="4"/>
  <c r="K7" i="4"/>
  <c r="K19" i="4"/>
  <c r="K15" i="4"/>
  <c r="K11" i="4"/>
  <c r="K6" i="4"/>
  <c r="K14" i="4"/>
  <c r="L8" i="4"/>
  <c r="K28" i="4"/>
  <c r="AO152" i="17" l="1"/>
  <c r="AP135" i="17"/>
  <c r="I32" i="4"/>
  <c r="I34" i="4"/>
  <c r="J24" i="4"/>
  <c r="J27" i="4" s="1"/>
  <c r="J30" i="4" s="1"/>
  <c r="J34" i="4" s="1"/>
  <c r="I31" i="4"/>
  <c r="J23" i="4"/>
  <c r="J26" i="4" s="1"/>
  <c r="J29" i="4" s="1"/>
  <c r="AO127" i="17"/>
  <c r="AP110" i="17"/>
  <c r="K12" i="4"/>
  <c r="K20" i="4"/>
  <c r="K21" i="4" s="1"/>
  <c r="I33" i="4"/>
  <c r="K22" i="4"/>
  <c r="AJ11" i="17"/>
  <c r="AJ17" i="17"/>
  <c r="L19" i="4" s="1"/>
  <c r="AJ10" i="17"/>
  <c r="L11" i="4" s="1"/>
  <c r="AJ12" i="17"/>
  <c r="AJ19" i="17"/>
  <c r="L28" i="4" s="1"/>
  <c r="AJ9" i="17"/>
  <c r="L10" i="4" s="1"/>
  <c r="AJ8" i="17"/>
  <c r="L9" i="4" s="1"/>
  <c r="AJ13" i="17"/>
  <c r="L15" i="4" s="1"/>
  <c r="AJ16" i="17"/>
  <c r="AJ14" i="17"/>
  <c r="AJ18" i="17"/>
  <c r="L25" i="4" s="1"/>
  <c r="AJ15" i="17"/>
  <c r="L17" i="4" s="1"/>
  <c r="AK5" i="17"/>
  <c r="M8" i="4" s="1"/>
  <c r="L18" i="4"/>
  <c r="L7" i="4"/>
  <c r="L14" i="4"/>
  <c r="L6" i="4"/>
  <c r="L13" i="4"/>
  <c r="L16" i="4"/>
  <c r="AP152" i="17" l="1"/>
  <c r="AQ135" i="17"/>
  <c r="J32" i="4"/>
  <c r="J31" i="4"/>
  <c r="J33" i="4"/>
  <c r="AQ110" i="17"/>
  <c r="AP127" i="17"/>
  <c r="K24" i="4"/>
  <c r="K27" i="4" s="1"/>
  <c r="K30" i="4" s="1"/>
  <c r="K34" i="4" s="1"/>
  <c r="K23" i="4"/>
  <c r="K26" i="4" s="1"/>
  <c r="K29" i="4" s="1"/>
  <c r="L12" i="4"/>
  <c r="L20" i="4"/>
  <c r="L21" i="4" s="1"/>
  <c r="L22" i="4"/>
  <c r="M11" i="4"/>
  <c r="M7" i="4"/>
  <c r="M10" i="4"/>
  <c r="M6" i="4"/>
  <c r="AK17" i="17"/>
  <c r="M19" i="4" s="1"/>
  <c r="AK11" i="17"/>
  <c r="M13" i="4" s="1"/>
  <c r="AK18" i="17"/>
  <c r="M25" i="4" s="1"/>
  <c r="AK15" i="17"/>
  <c r="M17" i="4" s="1"/>
  <c r="AK8" i="17"/>
  <c r="M9" i="4" s="1"/>
  <c r="AK10" i="17"/>
  <c r="AK14" i="17"/>
  <c r="M16" i="4" s="1"/>
  <c r="AK19" i="17"/>
  <c r="M28" i="4" s="1"/>
  <c r="AK12" i="17"/>
  <c r="M14" i="4" s="1"/>
  <c r="AK16" i="17"/>
  <c r="M18" i="4" s="1"/>
  <c r="AK13" i="17"/>
  <c r="M15" i="4" s="1"/>
  <c r="AK9" i="17"/>
  <c r="AL5" i="17"/>
  <c r="N8" i="4" s="1"/>
  <c r="AQ152" i="17" l="1"/>
  <c r="AR135" i="17"/>
  <c r="K31" i="4"/>
  <c r="K32" i="4"/>
  <c r="K33" i="4"/>
  <c r="AR110" i="17"/>
  <c r="AQ127" i="17"/>
  <c r="L24" i="4"/>
  <c r="L27" i="4" s="1"/>
  <c r="L30" i="4" s="1"/>
  <c r="L23" i="4"/>
  <c r="L26" i="4" s="1"/>
  <c r="L29" i="4" s="1"/>
  <c r="L31" i="4" s="1"/>
  <c r="M12" i="4"/>
  <c r="M20" i="4"/>
  <c r="M21" i="4" s="1"/>
  <c r="M22" i="4"/>
  <c r="N14" i="4"/>
  <c r="N17" i="4"/>
  <c r="N6" i="4"/>
  <c r="N7" i="4"/>
  <c r="N11" i="4"/>
  <c r="AL9" i="17"/>
  <c r="N10" i="4" s="1"/>
  <c r="AL13" i="17"/>
  <c r="N15" i="4" s="1"/>
  <c r="AL17" i="17"/>
  <c r="N19" i="4" s="1"/>
  <c r="AL11" i="17"/>
  <c r="N13" i="4" s="1"/>
  <c r="AL19" i="17"/>
  <c r="N28" i="4" s="1"/>
  <c r="AL16" i="17"/>
  <c r="N18" i="4" s="1"/>
  <c r="AL8" i="17"/>
  <c r="N9" i="4" s="1"/>
  <c r="AL15" i="17"/>
  <c r="AL18" i="17"/>
  <c r="N25" i="4" s="1"/>
  <c r="AM5" i="17"/>
  <c r="AL10" i="17"/>
  <c r="AL14" i="17"/>
  <c r="N16" i="4" s="1"/>
  <c r="AL12" i="17"/>
  <c r="AS135" i="17" l="1"/>
  <c r="AS152" i="17" s="1"/>
  <c r="AR152" i="17"/>
  <c r="L32" i="4"/>
  <c r="M23" i="4"/>
  <c r="M26" i="4" s="1"/>
  <c r="M29" i="4" s="1"/>
  <c r="M33" i="4" s="1"/>
  <c r="M24" i="4"/>
  <c r="M27" i="4" s="1"/>
  <c r="M30" i="4" s="1"/>
  <c r="M34" i="4" s="1"/>
  <c r="L34" i="4"/>
  <c r="AR127" i="17"/>
  <c r="AS110" i="17"/>
  <c r="AS127" i="17" s="1"/>
  <c r="L33" i="4"/>
  <c r="O8" i="4"/>
  <c r="O13" i="4" s="1"/>
  <c r="AN5" i="17"/>
  <c r="N20" i="4"/>
  <c r="N21" i="4" s="1"/>
  <c r="N22" i="4"/>
  <c r="N12" i="4"/>
  <c r="AM17" i="17"/>
  <c r="AM16" i="17"/>
  <c r="AM13" i="17"/>
  <c r="AM14" i="17"/>
  <c r="AM10" i="17"/>
  <c r="AM9" i="17"/>
  <c r="AM19" i="17"/>
  <c r="AM11" i="17"/>
  <c r="AM18" i="17"/>
  <c r="AM8" i="17"/>
  <c r="AM12" i="17"/>
  <c r="AM15" i="17"/>
  <c r="M32" i="4" l="1"/>
  <c r="M31" i="4"/>
  <c r="P8" i="4"/>
  <c r="P9" i="4" s="1"/>
  <c r="O18" i="4"/>
  <c r="O28" i="4"/>
  <c r="O15" i="4"/>
  <c r="O7" i="4"/>
  <c r="O6" i="4"/>
  <c r="O11" i="4"/>
  <c r="O25" i="4"/>
  <c r="O19" i="4"/>
  <c r="N23" i="4"/>
  <c r="N26" i="4" s="1"/>
  <c r="N29" i="4" s="1"/>
  <c r="N31" i="4" s="1"/>
  <c r="O9" i="4"/>
  <c r="O17" i="4"/>
  <c r="O16" i="4"/>
  <c r="O10" i="4"/>
  <c r="O14" i="4"/>
  <c r="N24" i="4"/>
  <c r="N27" i="4" s="1"/>
  <c r="N30" i="4" s="1"/>
  <c r="N34" i="4" s="1"/>
  <c r="AN19" i="17"/>
  <c r="AN13" i="17"/>
  <c r="AN17" i="17"/>
  <c r="AN14" i="17"/>
  <c r="AN10" i="17"/>
  <c r="AN18" i="17"/>
  <c r="AN16" i="17"/>
  <c r="AN15" i="17"/>
  <c r="AN9" i="17"/>
  <c r="AN11" i="17"/>
  <c r="AN12" i="17"/>
  <c r="AN8" i="17"/>
  <c r="P28" i="4" l="1"/>
  <c r="P11" i="4"/>
  <c r="P19" i="4"/>
  <c r="P18" i="4"/>
  <c r="P17" i="4"/>
  <c r="P25" i="4"/>
  <c r="Q8" i="4"/>
  <c r="Q15" i="4" s="1"/>
  <c r="P15" i="4"/>
  <c r="P14" i="4"/>
  <c r="P13" i="4"/>
  <c r="P7" i="4"/>
  <c r="P10" i="4"/>
  <c r="P6" i="4"/>
  <c r="P16" i="4"/>
  <c r="O20" i="4"/>
  <c r="O21" i="4" s="1"/>
  <c r="N33" i="4"/>
  <c r="O12" i="4"/>
  <c r="O22" i="4"/>
  <c r="N32" i="4"/>
  <c r="P12" i="4" l="1"/>
  <c r="P20" i="4"/>
  <c r="P21" i="4" s="1"/>
  <c r="Q14" i="4"/>
  <c r="Q9" i="4"/>
  <c r="Q6" i="4"/>
  <c r="Q10" i="4"/>
  <c r="Q7" i="4"/>
  <c r="Q25" i="4"/>
  <c r="P22" i="4"/>
  <c r="P24" i="4" s="1"/>
  <c r="P27" i="4" s="1"/>
  <c r="P30" i="4" s="1"/>
  <c r="P34" i="4" s="1"/>
  <c r="Q11" i="4"/>
  <c r="Q17" i="4"/>
  <c r="Q28" i="4"/>
  <c r="Q13" i="4"/>
  <c r="Q16" i="4"/>
  <c r="R8" i="4"/>
  <c r="R7" i="4" s="1"/>
  <c r="Q18" i="4"/>
  <c r="Q19" i="4"/>
  <c r="O23" i="4"/>
  <c r="O26" i="4" s="1"/>
  <c r="O29" i="4" s="1"/>
  <c r="O33" i="4" s="1"/>
  <c r="O24" i="4"/>
  <c r="O27" i="4" s="1"/>
  <c r="O30" i="4" s="1"/>
  <c r="O34" i="4" s="1"/>
  <c r="P23" i="4" l="1"/>
  <c r="P26" i="4" s="1"/>
  <c r="P29" i="4" s="1"/>
  <c r="P33" i="4" s="1"/>
  <c r="R19" i="4"/>
  <c r="R18" i="4"/>
  <c r="R17" i="4"/>
  <c r="Q12" i="4"/>
  <c r="Q22" i="4"/>
  <c r="Q20" i="4"/>
  <c r="Q21" i="4" s="1"/>
  <c r="R25" i="4"/>
  <c r="R11" i="4"/>
  <c r="R28" i="4"/>
  <c r="R14" i="4"/>
  <c r="R16" i="4"/>
  <c r="R10" i="4"/>
  <c r="O31" i="4"/>
  <c r="S8" i="4"/>
  <c r="S14" i="4" s="1"/>
  <c r="R15" i="4"/>
  <c r="R9" i="4"/>
  <c r="R12" i="4" s="1"/>
  <c r="R6" i="4"/>
  <c r="R13" i="4"/>
  <c r="O32" i="4"/>
  <c r="P32" i="4" s="1"/>
  <c r="Q23" i="4" l="1"/>
  <c r="Q26" i="4" s="1"/>
  <c r="Q29" i="4" s="1"/>
  <c r="Q33" i="4" s="1"/>
  <c r="Q24" i="4"/>
  <c r="Q27" i="4" s="1"/>
  <c r="Q30" i="4" s="1"/>
  <c r="Q34" i="4" s="1"/>
  <c r="R20" i="4"/>
  <c r="R21" i="4" s="1"/>
  <c r="R23" i="4" s="1"/>
  <c r="R26" i="4" s="1"/>
  <c r="R29" i="4" s="1"/>
  <c r="R31" i="4" s="1"/>
  <c r="P31" i="4"/>
  <c r="R22" i="4"/>
  <c r="R24" i="4" s="1"/>
  <c r="R27" i="4" s="1"/>
  <c r="R30" i="4" s="1"/>
  <c r="S28" i="4"/>
  <c r="S9" i="4"/>
  <c r="S12" i="4" s="1"/>
  <c r="S19" i="4"/>
  <c r="S25" i="4"/>
  <c r="S10" i="4"/>
  <c r="S13" i="4"/>
  <c r="S15" i="4"/>
  <c r="T8" i="4"/>
  <c r="T28" i="4" s="1"/>
  <c r="S17" i="4"/>
  <c r="S11" i="4"/>
  <c r="S16" i="4"/>
  <c r="S6" i="4"/>
  <c r="S7" i="4"/>
  <c r="S18" i="4"/>
  <c r="Q32" i="4"/>
  <c r="Q31" i="4"/>
  <c r="R34" i="4" l="1"/>
  <c r="R32" i="4"/>
  <c r="S20" i="4"/>
  <c r="S21" i="4" s="1"/>
  <c r="S23" i="4" s="1"/>
  <c r="S26" i="4" s="1"/>
  <c r="S29" i="4" s="1"/>
  <c r="S33" i="4" s="1"/>
  <c r="T19" i="4"/>
  <c r="T17" i="4"/>
  <c r="S22" i="4"/>
  <c r="S24" i="4" s="1"/>
  <c r="S27" i="4" s="1"/>
  <c r="S30" i="4" s="1"/>
  <c r="S34" i="4" s="1"/>
  <c r="T18" i="4"/>
  <c r="T14" i="4"/>
  <c r="R33" i="4"/>
  <c r="T6" i="4"/>
  <c r="T9" i="4"/>
  <c r="T12" i="4" s="1"/>
  <c r="T7" i="4"/>
  <c r="U8" i="4"/>
  <c r="U28" i="4" s="1"/>
  <c r="T15" i="4"/>
  <c r="T25" i="4"/>
  <c r="T13" i="4"/>
  <c r="T16" i="4"/>
  <c r="T10" i="4"/>
  <c r="T11" i="4"/>
  <c r="T22" i="4" l="1"/>
  <c r="T20" i="4"/>
  <c r="S32" i="4"/>
  <c r="S31" i="4"/>
  <c r="T24" i="4"/>
  <c r="T27" i="4" s="1"/>
  <c r="T30" i="4" s="1"/>
  <c r="T32" i="4" s="1"/>
  <c r="U18" i="4"/>
  <c r="U16" i="4"/>
  <c r="U13" i="4"/>
  <c r="U17" i="4"/>
  <c r="U19" i="4"/>
  <c r="U14" i="4"/>
  <c r="U6" i="4"/>
  <c r="V8" i="4"/>
  <c r="V13" i="4" s="1"/>
  <c r="U11" i="4"/>
  <c r="U25" i="4"/>
  <c r="U15" i="4"/>
  <c r="U7" i="4"/>
  <c r="U10" i="4"/>
  <c r="U9" i="4"/>
  <c r="U12" i="4" s="1"/>
  <c r="T21" i="4"/>
  <c r="T23" i="4" s="1"/>
  <c r="T26" i="4" s="1"/>
  <c r="T29" i="4" s="1"/>
  <c r="T31" i="4" s="1"/>
  <c r="T34" i="4" l="1"/>
  <c r="U20" i="4"/>
  <c r="U21" i="4" s="1"/>
  <c r="U23" i="4" s="1"/>
  <c r="U26" i="4" s="1"/>
  <c r="U29" i="4" s="1"/>
  <c r="U33" i="4" s="1"/>
  <c r="U22" i="4"/>
  <c r="U24" i="4" s="1"/>
  <c r="U27" i="4" s="1"/>
  <c r="U30" i="4" s="1"/>
  <c r="V7" i="4"/>
  <c r="V19" i="4"/>
  <c r="T33" i="4"/>
  <c r="V25" i="4"/>
  <c r="V15" i="4"/>
  <c r="V17" i="4"/>
  <c r="V10" i="4"/>
  <c r="W8" i="4"/>
  <c r="W7" i="4" s="1"/>
  <c r="V9" i="4"/>
  <c r="V12" i="4" s="1"/>
  <c r="V28" i="4"/>
  <c r="V18" i="4"/>
  <c r="V22" i="4" s="1"/>
  <c r="V6" i="4"/>
  <c r="V16" i="4"/>
  <c r="V14" i="4"/>
  <c r="V11" i="4"/>
  <c r="U31" i="4" l="1"/>
  <c r="V24" i="4"/>
  <c r="V27" i="4" s="1"/>
  <c r="V30" i="4" s="1"/>
  <c r="V32" i="4" s="1"/>
  <c r="U32" i="4"/>
  <c r="U34" i="4"/>
  <c r="V20" i="4"/>
  <c r="V21" i="4" s="1"/>
  <c r="V23" i="4" s="1"/>
  <c r="V26" i="4" s="1"/>
  <c r="V29" i="4" s="1"/>
  <c r="V31" i="4" s="1"/>
  <c r="W15" i="4"/>
  <c r="W17" i="4"/>
  <c r="W16" i="4"/>
  <c r="W9" i="4"/>
  <c r="W12" i="4" s="1"/>
  <c r="W11" i="4"/>
  <c r="X8" i="4"/>
  <c r="X18" i="4" s="1"/>
  <c r="W10" i="4"/>
  <c r="W6" i="4"/>
  <c r="W25" i="4"/>
  <c r="W18" i="4"/>
  <c r="W14" i="4"/>
  <c r="W28" i="4"/>
  <c r="W19" i="4"/>
  <c r="W13" i="4"/>
  <c r="W22" i="4" l="1"/>
  <c r="W24" i="4" s="1"/>
  <c r="W27" i="4" s="1"/>
  <c r="W30" i="4" s="1"/>
  <c r="W34" i="4" s="1"/>
  <c r="V34" i="4"/>
  <c r="V33" i="4"/>
  <c r="W20" i="4"/>
  <c r="W21" i="4" s="1"/>
  <c r="W23" i="4" s="1"/>
  <c r="W26" i="4" s="1"/>
  <c r="W29" i="4" s="1"/>
  <c r="X13" i="4"/>
  <c r="X22" i="4" s="1"/>
  <c r="X15" i="4"/>
  <c r="X11" i="4"/>
  <c r="X28" i="4"/>
  <c r="X17" i="4"/>
  <c r="X19" i="4"/>
  <c r="X20" i="4" s="1"/>
  <c r="X7" i="4"/>
  <c r="X10" i="4"/>
  <c r="X14" i="4"/>
  <c r="X6" i="4"/>
  <c r="X25" i="4"/>
  <c r="X16" i="4"/>
  <c r="X9" i="4"/>
  <c r="X12" i="4" s="1"/>
  <c r="Y8" i="4"/>
  <c r="Y6" i="4" s="1"/>
  <c r="W33" i="4" l="1"/>
  <c r="W31" i="4"/>
  <c r="W32" i="4"/>
  <c r="X21" i="4"/>
  <c r="X23" i="4" s="1"/>
  <c r="X26" i="4" s="1"/>
  <c r="X29" i="4" s="1"/>
  <c r="X33" i="4" s="1"/>
  <c r="X24" i="4"/>
  <c r="X27" i="4" s="1"/>
  <c r="X30" i="4" s="1"/>
  <c r="X32" i="4" s="1"/>
  <c r="Y13" i="4"/>
  <c r="Y10" i="4"/>
  <c r="Y16" i="4"/>
  <c r="Y18" i="4"/>
  <c r="Y17" i="4"/>
  <c r="Y28" i="4"/>
  <c r="Y11" i="4"/>
  <c r="Y19" i="4"/>
  <c r="Y25" i="4"/>
  <c r="Y9" i="4"/>
  <c r="Y12" i="4" s="1"/>
  <c r="Y14" i="4"/>
  <c r="Y7" i="4"/>
  <c r="Y15" i="4"/>
  <c r="X31" i="4" l="1"/>
  <c r="X34" i="4"/>
  <c r="Y22" i="4"/>
  <c r="Y24" i="4" s="1"/>
  <c r="Y27" i="4" s="1"/>
  <c r="Y30" i="4" s="1"/>
  <c r="Y20" i="4"/>
  <c r="Y21" i="4" s="1"/>
  <c r="Y23" i="4" s="1"/>
  <c r="Y26" i="4" s="1"/>
  <c r="Y29" i="4" s="1"/>
  <c r="F54" i="4" s="1"/>
  <c r="F55" i="4" l="1"/>
  <c r="Y34" i="4"/>
  <c r="O54" i="4"/>
  <c r="Y32" i="4"/>
  <c r="O53" i="4" s="1"/>
  <c r="O55" i="4"/>
  <c r="Y31" i="4"/>
  <c r="F53" i="4" s="1"/>
  <c r="Y3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F. Javier De Pablos Martin</author>
    <author>Christophe Christiaen</author>
  </authors>
  <commentList>
    <comment ref="C4" authorId="0" shapeId="0" xr:uid="{00000000-0006-0000-0100-000001000000}">
      <text>
        <r>
          <rPr>
            <sz val="10"/>
            <color rgb="FF000000"/>
            <rFont val="Tahoma"/>
            <family val="34"/>
          </rPr>
          <t xml:space="preserve">Table 1 should capture all development costs that have been incurred, and/or are expected to be incurred, to prepare a product/service for commercial exploitation, regardless of whether or not the developments have been, are, or are expected to be co-funded by ESA.
</t>
        </r>
        <r>
          <rPr>
            <sz val="10"/>
            <color rgb="FF000000"/>
            <rFont val="Tahoma"/>
            <family val="34"/>
          </rPr>
          <t xml:space="preserve">Note that the development phases (Definition, Technology, Product and Demonstration) and commercial phase may overlap in time.
</t>
        </r>
        <r>
          <rPr>
            <sz val="10"/>
            <color rgb="FF000000"/>
            <rFont val="Tahoma"/>
            <family val="34"/>
          </rPr>
          <t xml:space="preserve">Provide estimated or actual start and end dates for each development phase (past, present or future) that is necessary to develop the product to a state where it is ready for commercial exploitation.
</t>
        </r>
        <r>
          <rPr>
            <sz val="10"/>
            <color rgb="FF000000"/>
            <rFont val="Tahoma"/>
            <family val="34"/>
          </rPr>
          <t>In other words,</t>
        </r>
        <r>
          <rPr>
            <b/>
            <sz val="10"/>
            <color rgb="FF000000"/>
            <rFont val="Tahoma"/>
            <family val="34"/>
          </rPr>
          <t xml:space="preserve"> state the full development cost of the project, not just the cost of the proposed development phase(s)</t>
        </r>
        <r>
          <rPr>
            <sz val="10"/>
            <color rgb="FF000000"/>
            <rFont val="Tahoma"/>
            <family val="34"/>
          </rPr>
          <t xml:space="preserve">.
</t>
        </r>
      </text>
    </comment>
    <comment ref="D5" authorId="1" shapeId="0" xr:uid="{00000000-0006-0000-0100-000002000000}">
      <text>
        <r>
          <rPr>
            <sz val="10"/>
            <color rgb="FF000000"/>
            <rFont val="Arial"/>
            <family val="2"/>
          </rPr>
          <t xml:space="preserve">- “YES”: the development phase is included in the present proposal
</t>
        </r>
        <r>
          <rPr>
            <sz val="10"/>
            <color rgb="FF000000"/>
            <rFont val="Arial"/>
            <family val="2"/>
          </rPr>
          <t xml:space="preserve">- “NO”: the development phase is required for the target product/service but is NOT included in the present proposal (e.g. funded internally, future development phase)
</t>
        </r>
        <r>
          <rPr>
            <sz val="10"/>
            <color rgb="FF000000"/>
            <rFont val="Tahoma"/>
            <family val="2"/>
          </rPr>
          <t>- “N/A”: the development phase is not required for the target product/service to be ready for commercial exploitation</t>
        </r>
      </text>
    </comment>
    <comment ref="C14" authorId="0" shapeId="0" xr:uid="{00000000-0006-0000-0100-000003000000}">
      <text>
        <r>
          <rPr>
            <sz val="10"/>
            <color rgb="FF000000"/>
            <rFont val="Tahoma"/>
            <family val="2"/>
          </rPr>
          <t xml:space="preserve">Table 2 should enumerate all the customer segment variants for the target product(s)/service(s). For each customer segment, information about the Pricing and Cost of Sales shall be detailed.
</t>
        </r>
        <r>
          <rPr>
            <b/>
            <sz val="10"/>
            <color rgb="FF000000"/>
            <rFont val="Tahoma"/>
            <family val="2"/>
          </rPr>
          <t>Pricing</t>
        </r>
        <r>
          <rPr>
            <sz val="10"/>
            <color rgb="FF000000"/>
            <rFont val="Tahoma"/>
            <family val="2"/>
          </rPr>
          <t xml:space="preserve">: the total price per unit may be composed by a one-off price per unit, a one-off installation charge per unit (if applicable) and an annual fee per unit for the duration of the commercial lifetime (e.g. annual license) (if applicable)
</t>
        </r>
        <r>
          <rPr>
            <b/>
            <sz val="10"/>
            <color rgb="FF000000"/>
            <rFont val="Tahoma"/>
            <family val="2"/>
          </rPr>
          <t>Cost of Sales</t>
        </r>
        <r>
          <rPr>
            <sz val="10"/>
            <color rgb="FF000000"/>
            <rFont val="Tahoma"/>
            <family val="2"/>
          </rPr>
          <t xml:space="preserve">: one-off </t>
        </r>
        <r>
          <rPr>
            <sz val="10"/>
            <color rgb="FF000000"/>
            <rFont val="Tahoma"/>
            <family val="34"/>
          </rPr>
          <t>costs directly relating to the manufacture per unit, including raw materials, parts, services, direct labour, manufacturing facility operating costs and shipping costs. Operational costs (e.g. maintenance) shall not be included in Table 2, but in Table 4 (Operational Expenditures) instead</t>
        </r>
        <r>
          <rPr>
            <sz val="10"/>
            <color rgb="FF000000"/>
            <rFont val="Arial"/>
            <family val="2"/>
          </rPr>
          <t>.</t>
        </r>
        <r>
          <rPr>
            <sz val="10"/>
            <color rgb="FF000000"/>
            <rFont val="Tahoma"/>
            <family val="34"/>
          </rPr>
          <t xml:space="preserve">
</t>
        </r>
      </text>
    </comment>
    <comment ref="C24" authorId="1" shapeId="0" xr:uid="{00000000-0006-0000-0100-000004000000}">
      <text>
        <r>
          <rPr>
            <sz val="10"/>
            <color rgb="FF000000"/>
            <rFont val="Tahoma"/>
            <family val="2"/>
          </rPr>
          <t>Annual increase (%) due to other factors, such as inflation</t>
        </r>
      </text>
    </comment>
    <comment ref="C25" authorId="2" shapeId="0" xr:uid="{00000000-0006-0000-0100-000005000000}">
      <text>
        <r>
          <rPr>
            <sz val="10"/>
            <color rgb="FF000000"/>
            <rFont val="Tahoma"/>
            <family val="2"/>
          </rPr>
          <t>Annual percentage rate of customers cancelling subscription to yearly service fee</t>
        </r>
      </text>
    </comment>
    <comment ref="C28" authorId="0" shapeId="0" xr:uid="{00000000-0006-0000-0100-000006000000}">
      <text>
        <r>
          <rPr>
            <sz val="10"/>
            <color rgb="FF000000"/>
            <rFont val="Tahoma"/>
            <family val="34"/>
          </rPr>
          <t xml:space="preserve">Serviceable Obtainable market (SOM) is an estimate of the portion of revenue within a specific product/service segment that a company is able to capture.
</t>
        </r>
        <r>
          <rPr>
            <sz val="10"/>
            <color rgb="FF000000"/>
            <rFont val="Tahoma"/>
            <family val="34"/>
          </rPr>
          <t xml:space="preserve">In other words, </t>
        </r>
        <r>
          <rPr>
            <b/>
            <sz val="10"/>
            <color rgb="FF000000"/>
            <rFont val="Tahoma"/>
            <family val="34"/>
          </rPr>
          <t>this table represents the projected number of units to be sold per year during the commercial timeframe for each customer segment defined in Table 2.</t>
        </r>
      </text>
    </comment>
    <comment ref="C40" authorId="0" shapeId="0" xr:uid="{00000000-0006-0000-0100-000007000000}">
      <text>
        <r>
          <rPr>
            <sz val="10"/>
            <color rgb="FF000000"/>
            <rFont val="Tahoma"/>
            <family val="34"/>
          </rPr>
          <t xml:space="preserve">Operational Expenditure (OPEX) shall be understood as the on-going cost of running the business for the target product/system (i.e. selling, general, administration, maintenance, cloud hosting, satellite capacity...)
</t>
        </r>
      </text>
    </comment>
    <comment ref="C51" authorId="0" shapeId="0" xr:uid="{00000000-0006-0000-0100-000008000000}">
      <text>
        <r>
          <rPr>
            <sz val="10"/>
            <color rgb="FF000000"/>
            <rFont val="Tahoma"/>
            <family val="34"/>
          </rPr>
          <t xml:space="preserve">Capital Expenditure (CAPEX) shall be understood as the expenses (if any) incurred in acquiring, repairing, or improving physical assets for the target product(s)/service(s) (e.g. computers/servers, machinery...)
</t>
        </r>
      </text>
    </comment>
    <comment ref="E54" authorId="0" shapeId="0" xr:uid="{00000000-0006-0000-0100-000009000000}">
      <text>
        <r>
          <rPr>
            <sz val="10"/>
            <color rgb="FF000000"/>
            <rFont val="Tahoma"/>
            <family val="2"/>
          </rPr>
          <t>This field determines the depreciation rate (number of years) for Investments N.1 and N.2.</t>
        </r>
      </text>
    </comment>
    <comment ref="E57" authorId="0" shapeId="0" xr:uid="{00000000-0006-0000-0100-00000A000000}">
      <text>
        <r>
          <rPr>
            <sz val="10"/>
            <color rgb="FF000000"/>
            <rFont val="Tahoma"/>
            <family val="34"/>
          </rPr>
          <t>This field determines the depreciation rate (number of years) for Investments N.3 and N.4.</t>
        </r>
        <r>
          <rPr>
            <sz val="10"/>
            <color rgb="FF000000"/>
            <rFont val="Tahoma"/>
            <family val="34"/>
          </rPr>
          <t xml:space="preserve">
</t>
        </r>
      </text>
    </comment>
    <comment ref="C63" authorId="0" shapeId="0" xr:uid="{00000000-0006-0000-0100-00000B000000}">
      <text>
        <r>
          <rPr>
            <b/>
            <sz val="10"/>
            <color rgb="FF000000"/>
            <rFont val="Tahoma"/>
            <family val="34"/>
          </rPr>
          <t xml:space="preserve">Weighted Average Cost of Capital (WACC) </t>
        </r>
        <r>
          <rPr>
            <sz val="10"/>
            <color rgb="FF000000"/>
            <rFont val="Tahoma"/>
            <family val="34"/>
          </rPr>
          <t xml:space="preserve">should be understood as the discounted rate to fulfil twofold expectations:
</t>
        </r>
        <r>
          <rPr>
            <b/>
            <sz val="10"/>
            <color rgb="FF000000"/>
            <rFont val="Tahoma"/>
            <family val="34"/>
          </rPr>
          <t>1. Shareholders</t>
        </r>
        <r>
          <rPr>
            <sz val="10"/>
            <color rgb="FF000000"/>
            <rFont val="Tahoma"/>
            <family val="34"/>
          </rPr>
          <t xml:space="preserve"> (cost of equity; return expectations)
</t>
        </r>
        <r>
          <rPr>
            <b/>
            <sz val="10"/>
            <color rgb="FF000000"/>
            <rFont val="Tahoma"/>
            <family val="34"/>
          </rPr>
          <t>2. Debtholders</t>
        </r>
        <r>
          <rPr>
            <sz val="10"/>
            <color rgb="FF000000"/>
            <rFont val="Tahoma"/>
            <family val="34"/>
          </rPr>
          <t xml:space="preserve"> (cost of liabilities; debts, interests…)
</t>
        </r>
        <r>
          <rPr>
            <sz val="10"/>
            <color rgb="FF000000"/>
            <rFont val="Tahoma"/>
            <family val="34"/>
          </rPr>
          <t xml:space="preserve">It depends on several factors; project risk, source of finance proportion (e.g. equity % vs debt %), shareholders expectation, company maturity…
</t>
        </r>
      </text>
    </comment>
  </commentList>
</comments>
</file>

<file path=xl/sharedStrings.xml><?xml version="1.0" encoding="utf-8"?>
<sst xmlns="http://schemas.openxmlformats.org/spreadsheetml/2006/main" count="270" uniqueCount="177">
  <si>
    <t>EBITDA</t>
  </si>
  <si>
    <t>Depreciation</t>
  </si>
  <si>
    <t>PROFIT &amp; LOSS</t>
  </si>
  <si>
    <t xml:space="preserve">     There is no implied or explicit guarantee that this workbook generates</t>
  </si>
  <si>
    <t>Disclaimer:</t>
  </si>
  <si>
    <t>Financial Forecast Workbook</t>
  </si>
  <si>
    <t>Total</t>
  </si>
  <si>
    <t>Marketing</t>
  </si>
  <si>
    <t>Lifetime</t>
  </si>
  <si>
    <t>Total Expenses</t>
  </si>
  <si>
    <t>Cumulative Depreciation</t>
  </si>
  <si>
    <t>Depr. Rate</t>
  </si>
  <si>
    <t>TOTAL DEPRECIATION</t>
  </si>
  <si>
    <t>Investment N.1</t>
  </si>
  <si>
    <t>Investment N.2</t>
  </si>
  <si>
    <t>Investment N.3</t>
  </si>
  <si>
    <t>Book Value (at End of the Year)</t>
  </si>
  <si>
    <t>Cumulative CAPEX (at Start of the Year)</t>
  </si>
  <si>
    <t>I.</t>
  </si>
  <si>
    <t>Each stage is shown below and is provided in a separate worksheet in this workbook.</t>
  </si>
  <si>
    <t xml:space="preserve">     The user takes full responsibility for the use of this workbook.  </t>
  </si>
  <si>
    <t xml:space="preserve">     results to accurately reflect the viability of the proposed project.</t>
  </si>
  <si>
    <t>Cost of Capital (WACC)</t>
  </si>
  <si>
    <t>Product</t>
  </si>
  <si>
    <t>Investment N.4</t>
  </si>
  <si>
    <t>OPEX</t>
  </si>
  <si>
    <t>CAPEX</t>
  </si>
  <si>
    <t>Stage I -- Input Data</t>
  </si>
  <si>
    <t>Customer Segment 1 (CS1)</t>
  </si>
  <si>
    <t>Customer Segment 2 (CS2)</t>
  </si>
  <si>
    <t>Customer Segment 3 (CS3)</t>
  </si>
  <si>
    <t>Revenue Stream</t>
  </si>
  <si>
    <t>Customer Segments</t>
  </si>
  <si>
    <t>Commercial Exploitation Phase</t>
  </si>
  <si>
    <t>Estimated OPEX</t>
  </si>
  <si>
    <t>Estimated CAPEX</t>
  </si>
  <si>
    <t>Sales Volume</t>
  </si>
  <si>
    <t>Input Data</t>
  </si>
  <si>
    <t>Phase</t>
  </si>
  <si>
    <t>Start</t>
  </si>
  <si>
    <t>Conclusion</t>
  </si>
  <si>
    <t>Definition</t>
  </si>
  <si>
    <t>Technology</t>
  </si>
  <si>
    <t>Demonstration</t>
  </si>
  <si>
    <t>Commercial</t>
  </si>
  <si>
    <t>Planning and Costing Summary</t>
  </si>
  <si>
    <t>ESA Funding</t>
  </si>
  <si>
    <t>% of Costs</t>
  </si>
  <si>
    <t>Year -&gt;</t>
  </si>
  <si>
    <t>Development Phase(s)</t>
  </si>
  <si>
    <t>TOTAL</t>
  </si>
  <si>
    <t>Cost of Develoment Phases</t>
  </si>
  <si>
    <t>ESA Financial support</t>
  </si>
  <si>
    <t>Sales</t>
  </si>
  <si>
    <t>Admin</t>
  </si>
  <si>
    <t>Facilities</t>
  </si>
  <si>
    <t>Total Expenses (with ESA)</t>
  </si>
  <si>
    <t>IRR</t>
  </si>
  <si>
    <t>NPV</t>
  </si>
  <si>
    <t xml:space="preserve">WITHOUT ESA </t>
  </si>
  <si>
    <t xml:space="preserve">WITH ESA </t>
  </si>
  <si>
    <t>Pay Back</t>
  </si>
  <si>
    <t>Colour legend</t>
  </si>
  <si>
    <r>
      <t xml:space="preserve">Blank cells will be calculated based on inputs of worksheet </t>
    </r>
    <r>
      <rPr>
        <b/>
        <sz val="10"/>
        <color indexed="56"/>
        <rFont val="Arial"/>
        <family val="2"/>
      </rPr>
      <t>I-Input Data</t>
    </r>
  </si>
  <si>
    <t>Cells to be filled in</t>
  </si>
  <si>
    <t>Mon-YY</t>
  </si>
  <si>
    <t>Included in proposed activity?</t>
  </si>
  <si>
    <t>YES</t>
  </si>
  <si>
    <t>-</t>
  </si>
  <si>
    <t>The FinForecastTool OPT ARTES is licensed under the ESA Software Community License – Type 3 - v1.1</t>
  </si>
  <si>
    <t>Cumulative Volume Sales</t>
  </si>
  <si>
    <t>II.</t>
  </si>
  <si>
    <t>Profit &amp; Loss and Cash Flow Statement Calculation</t>
  </si>
  <si>
    <t>Guidelines - Using the Workbook to Produce a Financial Forecast</t>
  </si>
  <si>
    <t>This workbook consists of two stages to develop a financial forecast for a new product/system/service.</t>
  </si>
  <si>
    <t>Annual increase (%)</t>
  </si>
  <si>
    <t>Churn Rate (%)</t>
  </si>
  <si>
    <t>Cost of Sales (COGS)</t>
  </si>
  <si>
    <t>Financial Indicators without ESA Support</t>
  </si>
  <si>
    <t>Corporate Tax Rate</t>
  </si>
  <si>
    <t>Total Expenses (without ESA)</t>
  </si>
  <si>
    <t>Unlike most standard financial modelling tools, this workbook does not allow you to enter financial information</t>
  </si>
  <si>
    <t>Number of units sold per year</t>
  </si>
  <si>
    <t>EBITDA (without ESA)</t>
  </si>
  <si>
    <t>EBITDA (with ESA)</t>
  </si>
  <si>
    <t>EBIT (with ESA)</t>
  </si>
  <si>
    <t>EBIT (without ESA)</t>
  </si>
  <si>
    <t>Operating Profit (EBIT)</t>
  </si>
  <si>
    <t>R&amp;D</t>
  </si>
  <si>
    <t>Discounted Cash Flow (DCF)</t>
  </si>
  <si>
    <t>Cumulative Cash Flow (CCF)</t>
  </si>
  <si>
    <t>Free Cash Flow (FCF)</t>
  </si>
  <si>
    <t>FCF (with ESA)</t>
  </si>
  <si>
    <t>FCF (without ESA)</t>
  </si>
  <si>
    <t>CCF (with ESA)</t>
  </si>
  <si>
    <t>CCF (without ESA)</t>
  </si>
  <si>
    <t>DCF (with ESA)</t>
  </si>
  <si>
    <t>DCF (without ESA)</t>
  </si>
  <si>
    <t>R&amp;D cost without ESA</t>
  </si>
  <si>
    <t>R&amp;D cost with ESA</t>
  </si>
  <si>
    <t>ESA Financial Support</t>
  </si>
  <si>
    <t>Sales Revenue</t>
  </si>
  <si>
    <t>Installation Revenue</t>
  </si>
  <si>
    <t>Service Fee Revenue</t>
  </si>
  <si>
    <t>Revenue streams</t>
  </si>
  <si>
    <t>Total Revenue</t>
  </si>
  <si>
    <t>CASH FLOW</t>
  </si>
  <si>
    <t>Financial Indicators with ESA Support</t>
  </si>
  <si>
    <t>Depreciation/Amortization</t>
  </si>
  <si>
    <t>YEAR</t>
  </si>
  <si>
    <t xml:space="preserve">Cost of Capital (WACC)  </t>
  </si>
  <si>
    <t xml:space="preserve">Corporate Tax Rate  </t>
  </si>
  <si>
    <t>General Expenses</t>
  </si>
  <si>
    <t>Administration Expenses</t>
  </si>
  <si>
    <t>Selling Expenses</t>
  </si>
  <si>
    <t>for a new product/service/system.</t>
  </si>
  <si>
    <t>Commercial Phase</t>
  </si>
  <si>
    <t>Active development flag</t>
  </si>
  <si>
    <t>Active commercial flag</t>
  </si>
  <si>
    <t>Development Phase(s) year</t>
  </si>
  <si>
    <t>Commercial Phase year</t>
  </si>
  <si>
    <t>Included?</t>
  </si>
  <si>
    <t>CS1</t>
  </si>
  <si>
    <t>CS2</t>
  </si>
  <si>
    <t>CS3</t>
  </si>
  <si>
    <t>Start year</t>
  </si>
  <si>
    <t>End year</t>
  </si>
  <si>
    <t>Duration
in years</t>
  </si>
  <si>
    <t>Duration in days</t>
  </si>
  <si>
    <t>Day in start year</t>
  </si>
  <si>
    <t>Day in end year</t>
  </si>
  <si>
    <t>Funded by ESA?</t>
  </si>
  <si>
    <t>Consistency check</t>
  </si>
  <si>
    <t xml:space="preserve"> Table A. Revenue, Cost &amp; Depreciation projection</t>
  </si>
  <si>
    <t xml:space="preserve"> Table B. Development phases timing projection</t>
  </si>
  <si>
    <t xml:space="preserve"> Table C. Development phases cost projection</t>
  </si>
  <si>
    <t xml:space="preserve"> Table D. Estimated Revenue projection</t>
  </si>
  <si>
    <t xml:space="preserve"> Table E. Estimated Cost projection</t>
  </si>
  <si>
    <t xml:space="preserve"> Table F. Depreciation projection</t>
  </si>
  <si>
    <t>Table 2. Pricing and Cost of Sales</t>
  </si>
  <si>
    <t>Table 4. Operational Expenditures</t>
  </si>
  <si>
    <t>Table 5. Capital Expenditures</t>
  </si>
  <si>
    <t>Table 6. Financial Indicators</t>
  </si>
  <si>
    <t>Cost of Sales</t>
  </si>
  <si>
    <t>NO</t>
  </si>
  <si>
    <t>Other OPEX N.1</t>
  </si>
  <si>
    <t>Other OPEX N.2</t>
  </si>
  <si>
    <t>Other OPEX N.3</t>
  </si>
  <si>
    <t>Other Expenses</t>
  </si>
  <si>
    <r>
      <t>Go to worksheet</t>
    </r>
    <r>
      <rPr>
        <b/>
        <sz val="10"/>
        <color indexed="56"/>
        <rFont val="Arial"/>
        <family val="2"/>
      </rPr>
      <t xml:space="preserve"> II. Profit&amp;Loss + Cash Flow</t>
    </r>
    <r>
      <rPr>
        <sz val="10"/>
        <color indexed="56"/>
        <rFont val="Arial"/>
        <family val="2"/>
      </rPr>
      <t xml:space="preserve"> to review the forecast.</t>
    </r>
  </si>
  <si>
    <r>
      <t xml:space="preserve">Fill in all the requested fields as part of worksheet </t>
    </r>
    <r>
      <rPr>
        <b/>
        <sz val="10"/>
        <color indexed="56"/>
        <rFont val="Arial"/>
        <family val="2"/>
      </rPr>
      <t>I.Input Data</t>
    </r>
  </si>
  <si>
    <r>
      <t xml:space="preserve">Stage II -- </t>
    </r>
    <r>
      <rPr>
        <sz val="10"/>
        <color indexed="56"/>
        <rFont val="Arial"/>
        <family val="2"/>
      </rPr>
      <t>Review results projected as part of</t>
    </r>
    <r>
      <rPr>
        <b/>
        <sz val="10"/>
        <color indexed="56"/>
        <rFont val="Arial"/>
        <family val="2"/>
      </rPr>
      <t xml:space="preserve"> Profit &amp; Loss and Cash Flow</t>
    </r>
  </si>
  <si>
    <t xml:space="preserve">This workbook is designed to help on developing a financial forecast </t>
  </si>
  <si>
    <t>directly. Instead, it requires entering the underlying parameters such as the number of units sold per commercial</t>
  </si>
  <si>
    <t>year, unit prices, service fees, installation charges... in order to calculate the resulting financial projection.</t>
  </si>
  <si>
    <t>Cash Flow is calculated using the indirect method from the Profit &amp; Loss statement with the following remarks:</t>
  </si>
  <si>
    <t>Additional Remarks</t>
  </si>
  <si>
    <t>- No annual change in net working capital is considered</t>
  </si>
  <si>
    <t>CS4</t>
  </si>
  <si>
    <t>CS5</t>
  </si>
  <si>
    <t>EUR</t>
  </si>
  <si>
    <t>Total Cost</t>
  </si>
  <si>
    <t>Investment Lifetime (years)</t>
  </si>
  <si>
    <t>N/A</t>
  </si>
  <si>
    <t>Customer Segment 4 (CS4)</t>
  </si>
  <si>
    <t>Customer Segment 5 (CS5)</t>
  </si>
  <si>
    <t>Customer Segment 6 (CS6)</t>
  </si>
  <si>
    <t>Customer Segment 7 (CS7)</t>
  </si>
  <si>
    <t>CS6</t>
  </si>
  <si>
    <t>CS7</t>
  </si>
  <si>
    <t>Table 1. Planning &amp; Costing Summary</t>
  </si>
  <si>
    <t>Unit price
(one-off)</t>
  </si>
  <si>
    <t>Installation charge per unit
(one-off)</t>
  </si>
  <si>
    <t>Service fee per unit per year 
(recurrent)</t>
  </si>
  <si>
    <t>Cost of Sales per unit
(one-off)</t>
  </si>
  <si>
    <t>Table 3. Serviceable Obtainable Market</t>
  </si>
  <si>
    <t>Version 2.11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</si>
</sst>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 #,##0_-;\-* #,##0_-;_-* &quot;-&quot;??_-;_-@_-"/>
    <numFmt numFmtId="165" formatCode="#,##0_ ;[Red]\-#,##0\ "/>
    <numFmt numFmtId="166" formatCode="0.0"/>
    <numFmt numFmtId="167" formatCode="0_ ;[Red]\-0\ "/>
    <numFmt numFmtId="168" formatCode="_-&quot;$&quot;* #,##0.00_-;\-&quot;$&quot;* #,##0.00_-;_-&quot;$&quot;* &quot;-&quot;??_-;_-@_-"/>
    <numFmt numFmtId="169" formatCode="_-&quot;€&quot;\ * #,##0.00_-;\-&quot;€&quot;\ * #,##0.00_-;_-&quot;€&quot;\ * &quot;-&quot;??_-;_-@_-"/>
    <numFmt numFmtId="170" formatCode="&quot;€&quot;#,##0.00"/>
    <numFmt numFmtId="171" formatCode="0.0%"/>
    <numFmt numFmtId="172" formatCode="_-* #,##0_-;[Red]\-#,##0_-;_-* &quot;-&quot;??_-;_-@_-"/>
    <numFmt numFmtId="173" formatCode="&quot;€&quot;\ #,##0"/>
    <numFmt numFmtId="174" formatCode="&quot;€&quot;\ #,##0_ ;[Red]\ &quot;€&quot;\ \-#,##0_ ;\ * &quot;-&quot;??_ ;_ @_ "/>
  </numFmts>
  <fonts count="56" x14ac:knownFonts="1">
    <font>
      <sz val="10"/>
      <name val="Arial"/>
    </font>
    <font>
      <sz val="10"/>
      <name val="Arial"/>
      <family val="2"/>
    </font>
    <font>
      <sz val="8"/>
      <name val="Arial"/>
      <family val="2"/>
    </font>
    <font>
      <b/>
      <sz val="10"/>
      <name val="Arial"/>
      <family val="2"/>
    </font>
    <font>
      <i/>
      <sz val="10"/>
      <name val="Arial"/>
      <family val="2"/>
    </font>
    <font>
      <sz val="10"/>
      <color indexed="56"/>
      <name val="Arial"/>
      <family val="2"/>
    </font>
    <font>
      <sz val="11"/>
      <color indexed="8"/>
      <name val="Calibri"/>
      <family val="2"/>
    </font>
    <font>
      <sz val="10"/>
      <name val="Arial"/>
      <family val="2"/>
    </font>
    <font>
      <b/>
      <sz val="10"/>
      <color indexed="56"/>
      <name val="Arial"/>
      <family val="2"/>
    </font>
    <font>
      <sz val="14"/>
      <name val="Arial"/>
      <family val="2"/>
    </font>
    <font>
      <sz val="9"/>
      <name val="Arial"/>
      <family val="2"/>
    </font>
    <font>
      <b/>
      <sz val="11"/>
      <name val="Arial"/>
      <family val="2"/>
    </font>
    <font>
      <b/>
      <sz val="8"/>
      <name val="Arial"/>
      <family val="2"/>
    </font>
    <font>
      <sz val="10"/>
      <name val="Arial"/>
      <family val="2"/>
    </font>
    <font>
      <u/>
      <sz val="10"/>
      <color theme="10"/>
      <name val="Arial"/>
      <family val="2"/>
    </font>
    <font>
      <sz val="11"/>
      <color theme="1"/>
      <name val="Calibri"/>
      <family val="2"/>
      <scheme val="minor"/>
    </font>
    <font>
      <sz val="10"/>
      <color theme="3"/>
      <name val="Arial"/>
      <family val="2"/>
    </font>
    <font>
      <sz val="10"/>
      <color rgb="FFFF0000"/>
      <name val="Arial"/>
      <family val="2"/>
    </font>
    <font>
      <i/>
      <sz val="10"/>
      <color theme="3"/>
      <name val="Arial"/>
      <family val="2"/>
    </font>
    <font>
      <b/>
      <sz val="10"/>
      <color theme="3"/>
      <name val="Arial"/>
      <family val="2"/>
    </font>
    <font>
      <b/>
      <sz val="11"/>
      <color theme="4" tint="-0.499984740745262"/>
      <name val="Arial"/>
      <family val="2"/>
    </font>
    <font>
      <sz val="9"/>
      <color theme="5"/>
      <name val="Arial"/>
      <family val="2"/>
    </font>
    <font>
      <sz val="10"/>
      <color theme="0" tint="-0.34998626667073579"/>
      <name val="Arial"/>
      <family val="2"/>
    </font>
    <font>
      <sz val="10"/>
      <color theme="0" tint="-0.249977111117893"/>
      <name val="Arial"/>
      <family val="2"/>
    </font>
    <font>
      <b/>
      <sz val="14"/>
      <color theme="4" tint="-0.499984740745262"/>
      <name val="Arial"/>
      <family val="2"/>
    </font>
    <font>
      <b/>
      <sz val="10"/>
      <color theme="5"/>
      <name val="Arial"/>
      <family val="2"/>
    </font>
    <font>
      <b/>
      <sz val="22"/>
      <color theme="3"/>
      <name val="Arial"/>
      <family val="2"/>
    </font>
    <font>
      <b/>
      <sz val="12"/>
      <color theme="3"/>
      <name val="Arial"/>
      <family val="2"/>
    </font>
    <font>
      <b/>
      <sz val="12"/>
      <color theme="4" tint="-0.499984740745262"/>
      <name val="Arial"/>
      <family val="2"/>
    </font>
    <font>
      <b/>
      <sz val="10"/>
      <color theme="4" tint="-0.499984740745262"/>
      <name val="Arial"/>
      <family val="2"/>
    </font>
    <font>
      <b/>
      <sz val="11"/>
      <color theme="3"/>
      <name val="Arial"/>
      <family val="2"/>
    </font>
    <font>
      <u/>
      <sz val="10"/>
      <color theme="3"/>
      <name val="Arial"/>
      <family val="2"/>
    </font>
    <font>
      <b/>
      <sz val="10"/>
      <color rgb="FF1F497D"/>
      <name val="Arial"/>
      <family val="2"/>
    </font>
    <font>
      <sz val="10"/>
      <color theme="3"/>
      <name val="Calibri"/>
      <family val="2"/>
      <scheme val="minor"/>
    </font>
    <font>
      <sz val="10"/>
      <color rgb="FF000000"/>
      <name val="Arial"/>
      <family val="2"/>
    </font>
    <font>
      <sz val="10"/>
      <color rgb="FF002060"/>
      <name val="Arial"/>
      <family val="2"/>
    </font>
    <font>
      <sz val="10"/>
      <color theme="3" tint="-0.249977111117893"/>
      <name val="Arial"/>
      <family val="2"/>
    </font>
    <font>
      <sz val="9"/>
      <color theme="3"/>
      <name val="Arial"/>
      <family val="2"/>
    </font>
    <font>
      <sz val="10"/>
      <color theme="1" tint="0.34998626667073579"/>
      <name val="Arial"/>
      <family val="2"/>
    </font>
    <font>
      <b/>
      <sz val="14"/>
      <color theme="1" tint="0.34998626667073579"/>
      <name val="Arial"/>
      <family val="2"/>
    </font>
    <font>
      <b/>
      <sz val="11"/>
      <color theme="1" tint="0.34998626667073579"/>
      <name val="Arial"/>
      <family val="2"/>
    </font>
    <font>
      <b/>
      <sz val="11"/>
      <color theme="1" tint="0.34998626667073579"/>
      <name val="Calibri"/>
      <family val="2"/>
    </font>
    <font>
      <sz val="8"/>
      <color theme="1" tint="0.34998626667073579"/>
      <name val="Arial"/>
      <family val="2"/>
    </font>
    <font>
      <sz val="9"/>
      <color theme="1" tint="0.34998626667073579"/>
      <name val="Arial"/>
      <family val="2"/>
    </font>
    <font>
      <b/>
      <sz val="10"/>
      <color theme="1" tint="0.34998626667073579"/>
      <name val="Arial"/>
      <family val="2"/>
    </font>
    <font>
      <b/>
      <sz val="14"/>
      <color theme="3"/>
      <name val="Arial"/>
      <family val="2"/>
    </font>
    <font>
      <sz val="14"/>
      <color theme="3"/>
      <name val="Arial"/>
      <family val="2"/>
    </font>
    <font>
      <b/>
      <sz val="10"/>
      <color rgb="FF002060"/>
      <name val="Arial"/>
      <family val="2"/>
    </font>
    <font>
      <b/>
      <i/>
      <sz val="10"/>
      <color rgb="FF002060"/>
      <name val="Arial"/>
      <family val="2"/>
    </font>
    <font>
      <sz val="9"/>
      <color rgb="FF002060"/>
      <name val="Arial"/>
      <family val="2"/>
    </font>
    <font>
      <b/>
      <sz val="10"/>
      <color theme="3" tint="-0.249977111117893"/>
      <name val="Arial"/>
      <family val="2"/>
    </font>
    <font>
      <sz val="11"/>
      <color rgb="FF002060"/>
      <name val="Calibri"/>
      <family val="2"/>
      <scheme val="minor"/>
    </font>
    <font>
      <sz val="10"/>
      <color rgb="FF000000"/>
      <name val="Tahoma"/>
      <family val="2"/>
    </font>
    <font>
      <b/>
      <sz val="10"/>
      <color rgb="FF000000"/>
      <name val="Tahoma"/>
      <family val="2"/>
    </font>
    <font>
      <sz val="10"/>
      <color rgb="FF000000"/>
      <name val="Tahoma"/>
      <family val="34"/>
    </font>
    <font>
      <b/>
      <sz val="10"/>
      <color rgb="FF000000"/>
      <name val="Tahoma"/>
      <family val="34"/>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tint="-0.14996795556505021"/>
        <bgColor indexed="64"/>
      </patternFill>
    </fill>
  </fills>
  <borders count="89">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ck">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ck">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ck">
        <color indexed="64"/>
      </bottom>
      <diagonal/>
    </border>
    <border>
      <left/>
      <right style="thick">
        <color indexed="64"/>
      </right>
      <top/>
      <bottom style="thick">
        <color indexed="64"/>
      </bottom>
      <diagonal/>
    </border>
    <border>
      <left/>
      <right/>
      <top style="thick">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bottom/>
      <diagonal/>
    </border>
    <border>
      <left style="thick">
        <color indexed="64"/>
      </left>
      <right/>
      <top/>
      <bottom style="thick">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ck">
        <color indexed="64"/>
      </left>
      <right/>
      <top style="thin">
        <color indexed="64"/>
      </top>
      <bottom/>
      <diagonal/>
    </border>
    <border>
      <left style="thick">
        <color indexed="64"/>
      </left>
      <right/>
      <top/>
      <bottom style="thin">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theme="1"/>
      </right>
      <top style="medium">
        <color indexed="64"/>
      </top>
      <bottom style="thin">
        <color indexed="64"/>
      </bottom>
      <diagonal/>
    </border>
  </borders>
  <cellStyleXfs count="12">
    <xf numFmtId="0" fontId="0" fillId="0" borderId="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169" fontId="7" fillId="0" borderId="0" applyFont="0" applyFill="0" applyBorder="0" applyAlignment="0" applyProtection="0"/>
    <xf numFmtId="0" fontId="14" fillId="0" borderId="0" applyNumberFormat="0" applyFill="0" applyBorder="0" applyAlignment="0" applyProtection="0"/>
    <xf numFmtId="0" fontId="2" fillId="0" borderId="0"/>
    <xf numFmtId="0" fontId="15" fillId="0" borderId="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cellStyleXfs>
  <cellXfs count="583">
    <xf numFmtId="0" fontId="0" fillId="0" borderId="0" xfId="0"/>
    <xf numFmtId="164" fontId="0" fillId="0" borderId="0" xfId="1" applyNumberFormat="1" applyFont="1"/>
    <xf numFmtId="0" fontId="3" fillId="0" borderId="0" xfId="0" applyFont="1"/>
    <xf numFmtId="0" fontId="4" fillId="0" borderId="0" xfId="0" applyFont="1"/>
    <xf numFmtId="0" fontId="16" fillId="0" borderId="0" xfId="0" applyFont="1"/>
    <xf numFmtId="0" fontId="17" fillId="0" borderId="0" xfId="0" applyFont="1"/>
    <xf numFmtId="0" fontId="18" fillId="0" borderId="0" xfId="0" applyFont="1"/>
    <xf numFmtId="0" fontId="0" fillId="0" borderId="0" xfId="0" applyAlignment="1">
      <alignment horizontal="center"/>
    </xf>
    <xf numFmtId="0" fontId="19" fillId="0" borderId="0" xfId="0" applyFont="1"/>
    <xf numFmtId="0" fontId="9" fillId="0" borderId="0" xfId="0" applyFont="1"/>
    <xf numFmtId="0" fontId="20" fillId="0" borderId="0" xfId="0" applyFont="1"/>
    <xf numFmtId="0" fontId="0" fillId="0" borderId="0" xfId="0" applyAlignment="1">
      <alignment vertical="center" textRotation="90"/>
    </xf>
    <xf numFmtId="0" fontId="21" fillId="0" borderId="0" xfId="0" applyFont="1" applyAlignment="1">
      <alignment horizontal="center" vertical="center" textRotation="90" wrapText="1"/>
    </xf>
    <xf numFmtId="0" fontId="1" fillId="0" borderId="0" xfId="0" applyFont="1" applyAlignment="1">
      <alignment horizontal="center" vertical="center"/>
    </xf>
    <xf numFmtId="1" fontId="0" fillId="0" borderId="0" xfId="0" applyNumberFormat="1" applyAlignment="1">
      <alignment horizontal="center" vertical="center"/>
    </xf>
    <xf numFmtId="0" fontId="1" fillId="0" borderId="0" xfId="0" applyFont="1"/>
    <xf numFmtId="164" fontId="0" fillId="0" borderId="0" xfId="1" applyNumberFormat="1" applyFont="1" applyFill="1"/>
    <xf numFmtId="1" fontId="0" fillId="0" borderId="0" xfId="0" applyNumberFormat="1"/>
    <xf numFmtId="165" fontId="16" fillId="2" borderId="1" xfId="1" applyNumberFormat="1" applyFont="1" applyFill="1" applyBorder="1" applyProtection="1">
      <protection locked="0"/>
    </xf>
    <xf numFmtId="0" fontId="16" fillId="2" borderId="0" xfId="0" applyFont="1" applyFill="1"/>
    <xf numFmtId="0" fontId="1" fillId="3" borderId="2" xfId="0" applyFont="1" applyFill="1" applyBorder="1"/>
    <xf numFmtId="0" fontId="2"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6" fillId="2" borderId="6" xfId="0" applyFont="1" applyFill="1" applyBorder="1" applyAlignment="1">
      <alignment horizontal="center" vertical="center"/>
    </xf>
    <xf numFmtId="0" fontId="1" fillId="2" borderId="6" xfId="0" applyFont="1" applyFill="1" applyBorder="1" applyAlignment="1">
      <alignment horizontal="center" vertical="center"/>
    </xf>
    <xf numFmtId="17" fontId="16" fillId="4" borderId="7" xfId="0" applyNumberFormat="1" applyFont="1" applyFill="1" applyBorder="1" applyAlignment="1">
      <alignment horizontal="center"/>
    </xf>
    <xf numFmtId="17" fontId="16" fillId="4" borderId="8" xfId="0" applyNumberFormat="1" applyFont="1" applyFill="1" applyBorder="1" applyAlignment="1">
      <alignment horizontal="center"/>
    </xf>
    <xf numFmtId="0" fontId="2" fillId="2" borderId="9" xfId="0" applyFont="1" applyFill="1" applyBorder="1" applyAlignment="1">
      <alignment horizontal="center" vertical="center" wrapText="1"/>
    </xf>
    <xf numFmtId="0" fontId="22" fillId="0" borderId="0" xfId="0" applyFont="1"/>
    <xf numFmtId="9" fontId="13" fillId="3" borderId="2" xfId="9" applyFont="1" applyFill="1" applyBorder="1" applyAlignment="1" applyProtection="1">
      <alignment horizontal="center" vertical="center"/>
      <protection locked="0"/>
    </xf>
    <xf numFmtId="17" fontId="0" fillId="3" borderId="2" xfId="0" applyNumberFormat="1" applyFill="1" applyBorder="1" applyAlignment="1" applyProtection="1">
      <alignment horizontal="center" vertical="center"/>
      <protection locked="0"/>
    </xf>
    <xf numFmtId="17" fontId="0" fillId="3" borderId="10" xfId="0" applyNumberFormat="1" applyFill="1" applyBorder="1" applyAlignment="1" applyProtection="1">
      <alignment horizontal="center" vertical="center"/>
      <protection locked="0"/>
    </xf>
    <xf numFmtId="49" fontId="10" fillId="3" borderId="11" xfId="0" applyNumberFormat="1" applyFont="1" applyFill="1" applyBorder="1" applyAlignment="1" applyProtection="1">
      <alignment horizontal="center"/>
      <protection locked="0"/>
    </xf>
    <xf numFmtId="1" fontId="23" fillId="0" borderId="0" xfId="0" applyNumberFormat="1" applyFont="1" applyAlignment="1">
      <alignment horizontal="center"/>
    </xf>
    <xf numFmtId="0" fontId="20" fillId="2" borderId="0" xfId="0" applyFont="1" applyFill="1" applyAlignment="1">
      <alignment horizontal="center"/>
    </xf>
    <xf numFmtId="0" fontId="24" fillId="2" borderId="0" xfId="0" applyFont="1" applyFill="1"/>
    <xf numFmtId="0" fontId="0" fillId="2" borderId="0" xfId="0" applyFill="1"/>
    <xf numFmtId="0" fontId="1" fillId="2" borderId="0" xfId="0" applyFont="1" applyFill="1"/>
    <xf numFmtId="0" fontId="2" fillId="2" borderId="0" xfId="0" applyFont="1" applyFill="1" applyAlignment="1">
      <alignment horizontal="center" vertical="center" wrapText="1"/>
    </xf>
    <xf numFmtId="0" fontId="0" fillId="2" borderId="0" xfId="0" applyFill="1" applyAlignment="1">
      <alignment vertical="center" textRotation="90"/>
    </xf>
    <xf numFmtId="0" fontId="1" fillId="2" borderId="0" xfId="0" applyFont="1" applyFill="1" applyAlignment="1">
      <alignment vertical="center" textRotation="90"/>
    </xf>
    <xf numFmtId="0" fontId="24" fillId="2" borderId="12" xfId="0" applyFont="1" applyFill="1" applyBorder="1" applyAlignment="1">
      <alignment horizontal="center"/>
    </xf>
    <xf numFmtId="0" fontId="25" fillId="2" borderId="0" xfId="0" applyFont="1" applyFill="1"/>
    <xf numFmtId="0" fontId="0" fillId="2" borderId="0" xfId="0" applyFill="1" applyAlignment="1">
      <alignment horizontal="center"/>
    </xf>
    <xf numFmtId="0" fontId="16" fillId="2" borderId="0" xfId="0" applyFont="1" applyFill="1" applyAlignment="1">
      <alignment horizontal="center"/>
    </xf>
    <xf numFmtId="0" fontId="26" fillId="2" borderId="0" xfId="0" applyFont="1" applyFill="1"/>
    <xf numFmtId="0" fontId="18" fillId="2" borderId="0" xfId="0" applyFont="1" applyFill="1"/>
    <xf numFmtId="0" fontId="1" fillId="2" borderId="0" xfId="0" applyFont="1" applyFill="1" applyAlignment="1">
      <alignment horizontal="center"/>
    </xf>
    <xf numFmtId="0" fontId="27" fillId="2" borderId="0" xfId="0" applyFont="1" applyFill="1"/>
    <xf numFmtId="0" fontId="19" fillId="2" borderId="13" xfId="0" applyFont="1" applyFill="1" applyBorder="1"/>
    <xf numFmtId="0" fontId="16" fillId="2" borderId="14" xfId="0" applyFont="1" applyFill="1" applyBorder="1"/>
    <xf numFmtId="0" fontId="16" fillId="2" borderId="15" xfId="0" applyFont="1" applyFill="1" applyBorder="1"/>
    <xf numFmtId="0" fontId="16" fillId="2" borderId="16" xfId="0" applyFont="1" applyFill="1" applyBorder="1"/>
    <xf numFmtId="0" fontId="16" fillId="2" borderId="17" xfId="0" applyFont="1" applyFill="1" applyBorder="1"/>
    <xf numFmtId="0" fontId="16" fillId="2" borderId="18" xfId="0" applyFont="1" applyFill="1" applyBorder="1"/>
    <xf numFmtId="0" fontId="16" fillId="2" borderId="19" xfId="0" applyFont="1" applyFill="1" applyBorder="1"/>
    <xf numFmtId="0" fontId="16" fillId="2" borderId="20" xfId="0" applyFont="1" applyFill="1" applyBorder="1"/>
    <xf numFmtId="0" fontId="24" fillId="2" borderId="12" xfId="0" applyFont="1" applyFill="1" applyBorder="1"/>
    <xf numFmtId="0" fontId="28" fillId="2" borderId="12" xfId="0" applyFont="1" applyFill="1" applyBorder="1"/>
    <xf numFmtId="0" fontId="20" fillId="2" borderId="12" xfId="0" applyFont="1" applyFill="1" applyBorder="1"/>
    <xf numFmtId="0" fontId="20" fillId="2" borderId="0" xfId="0" applyFont="1" applyFill="1"/>
    <xf numFmtId="0" fontId="29" fillId="2" borderId="0" xfId="0" applyFont="1" applyFill="1"/>
    <xf numFmtId="0" fontId="30" fillId="2" borderId="0" xfId="0" applyFont="1" applyFill="1"/>
    <xf numFmtId="0" fontId="30" fillId="2" borderId="0" xfId="0" applyFont="1" applyFill="1" applyAlignment="1">
      <alignment horizontal="center"/>
    </xf>
    <xf numFmtId="0" fontId="16" fillId="2" borderId="2" xfId="0" applyFont="1" applyFill="1" applyBorder="1"/>
    <xf numFmtId="0" fontId="31" fillId="2" borderId="0" xfId="0" applyFont="1" applyFill="1"/>
    <xf numFmtId="0" fontId="19" fillId="2" borderId="0" xfId="0" applyFont="1" applyFill="1"/>
    <xf numFmtId="0" fontId="19" fillId="2" borderId="0" xfId="0" applyFont="1" applyFill="1" applyAlignment="1">
      <alignment horizontal="center"/>
    </xf>
    <xf numFmtId="0" fontId="32" fillId="2" borderId="0" xfId="0" applyFont="1" applyFill="1"/>
    <xf numFmtId="0" fontId="14" fillId="2" borderId="0" xfId="6" applyFill="1"/>
    <xf numFmtId="0" fontId="14" fillId="2" borderId="0" xfId="6" applyFill="1" applyBorder="1"/>
    <xf numFmtId="165" fontId="33" fillId="2" borderId="0" xfId="1" applyNumberFormat="1" applyFont="1" applyFill="1" applyBorder="1" applyAlignment="1">
      <alignment horizontal="center"/>
    </xf>
    <xf numFmtId="0" fontId="21" fillId="2" borderId="0" xfId="0" applyFont="1" applyFill="1" applyAlignment="1">
      <alignment horizontal="center" vertical="center" textRotation="90" wrapText="1"/>
    </xf>
    <xf numFmtId="17" fontId="34" fillId="3" borderId="21" xfId="0" applyNumberFormat="1" applyFont="1" applyFill="1" applyBorder="1" applyAlignment="1" applyProtection="1">
      <alignment horizontal="center" vertical="center"/>
      <protection locked="0"/>
    </xf>
    <xf numFmtId="0" fontId="2" fillId="2" borderId="22" xfId="0" applyFont="1" applyFill="1" applyBorder="1" applyAlignment="1">
      <alignment horizontal="center" vertical="center" wrapText="1"/>
    </xf>
    <xf numFmtId="0" fontId="2" fillId="2" borderId="1" xfId="0" applyFont="1" applyFill="1" applyBorder="1" applyAlignment="1">
      <alignment horizontal="center" vertical="center" wrapText="1"/>
    </xf>
    <xf numFmtId="165" fontId="35" fillId="2" borderId="2" xfId="1" applyNumberFormat="1" applyFont="1" applyFill="1" applyBorder="1" applyAlignment="1">
      <alignment horizontal="right"/>
    </xf>
    <xf numFmtId="17" fontId="34" fillId="3" borderId="6" xfId="0" applyNumberFormat="1"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protection locked="0"/>
    </xf>
    <xf numFmtId="0" fontId="16" fillId="3" borderId="22" xfId="0" applyFont="1" applyFill="1" applyBorder="1" applyAlignment="1" applyProtection="1">
      <alignment horizontal="center" vertical="center"/>
      <protection locked="0"/>
    </xf>
    <xf numFmtId="49" fontId="10" fillId="3" borderId="23" xfId="0" applyNumberFormat="1" applyFont="1" applyFill="1" applyBorder="1" applyAlignment="1" applyProtection="1">
      <alignment horizontal="center"/>
      <protection locked="0"/>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10" fillId="2" borderId="26" xfId="0" applyFont="1" applyFill="1" applyBorder="1" applyAlignment="1">
      <alignment horizontal="center" vertical="center" wrapText="1"/>
    </xf>
    <xf numFmtId="9" fontId="13" fillId="3" borderId="8" xfId="9" applyFont="1" applyFill="1" applyBorder="1" applyAlignment="1" applyProtection="1">
      <alignment horizontal="center" vertical="center"/>
      <protection locked="0"/>
    </xf>
    <xf numFmtId="17" fontId="0" fillId="3" borderId="8" xfId="0" applyNumberFormat="1" applyFill="1" applyBorder="1" applyAlignment="1" applyProtection="1">
      <alignment horizontal="center" vertical="center"/>
      <protection locked="0"/>
    </xf>
    <xf numFmtId="17" fontId="0" fillId="3" borderId="27" xfId="0" applyNumberFormat="1" applyFill="1" applyBorder="1" applyAlignment="1" applyProtection="1">
      <alignment horizontal="center" vertical="center"/>
      <protection locked="0"/>
    </xf>
    <xf numFmtId="0" fontId="1" fillId="0" borderId="0" xfId="0" applyFont="1" applyAlignment="1">
      <alignment wrapText="1"/>
    </xf>
    <xf numFmtId="0" fontId="16" fillId="4" borderId="28" xfId="0" applyFont="1" applyFill="1" applyBorder="1"/>
    <xf numFmtId="0" fontId="16" fillId="4" borderId="88" xfId="0" applyFont="1" applyFill="1" applyBorder="1"/>
    <xf numFmtId="0" fontId="16" fillId="4" borderId="7" xfId="0" applyFont="1" applyFill="1" applyBorder="1"/>
    <xf numFmtId="0" fontId="16" fillId="4" borderId="29" xfId="0" applyFont="1" applyFill="1" applyBorder="1"/>
    <xf numFmtId="49" fontId="10" fillId="2" borderId="30" xfId="0" applyNumberFormat="1" applyFont="1" applyFill="1" applyBorder="1" applyAlignment="1">
      <alignment horizontal="center" vertical="center"/>
    </xf>
    <xf numFmtId="49" fontId="10" fillId="2" borderId="5" xfId="0" applyNumberFormat="1" applyFont="1" applyFill="1" applyBorder="1" applyAlignment="1">
      <alignment horizontal="center"/>
    </xf>
    <xf numFmtId="0" fontId="0" fillId="2" borderId="31" xfId="0" applyFill="1" applyBorder="1"/>
    <xf numFmtId="0" fontId="0" fillId="2" borderId="32" xfId="0" applyFill="1" applyBorder="1"/>
    <xf numFmtId="0" fontId="0" fillId="2" borderId="21" xfId="0" applyFill="1" applyBorder="1"/>
    <xf numFmtId="0" fontId="0" fillId="0" borderId="33" xfId="0" applyBorder="1"/>
    <xf numFmtId="0" fontId="3" fillId="2" borderId="0" xfId="0" applyFont="1" applyFill="1"/>
    <xf numFmtId="0" fontId="0" fillId="0" borderId="0" xfId="0" applyProtection="1">
      <protection locked="0"/>
    </xf>
    <xf numFmtId="167" fontId="1" fillId="0" borderId="0" xfId="0" applyNumberFormat="1" applyFont="1" applyProtection="1">
      <protection locked="0"/>
    </xf>
    <xf numFmtId="0" fontId="0" fillId="0" borderId="33" xfId="0" applyBorder="1" applyProtection="1">
      <protection locked="0"/>
    </xf>
    <xf numFmtId="0" fontId="21" fillId="0" borderId="0" xfId="0" applyFont="1" applyAlignment="1" applyProtection="1">
      <alignment horizontal="center" vertical="center" textRotation="90" wrapText="1"/>
      <protection locked="0"/>
    </xf>
    <xf numFmtId="0" fontId="21" fillId="0" borderId="33" xfId="0" applyFont="1" applyBorder="1" applyAlignment="1" applyProtection="1">
      <alignment horizontal="center" vertical="center" textRotation="90" wrapText="1"/>
      <protection locked="0"/>
    </xf>
    <xf numFmtId="0" fontId="11" fillId="0" borderId="0" xfId="0" quotePrefix="1" applyFont="1" applyProtection="1">
      <protection locked="0"/>
    </xf>
    <xf numFmtId="0" fontId="19" fillId="2" borderId="2" xfId="0" applyFont="1" applyFill="1" applyBorder="1" applyAlignment="1" applyProtection="1">
      <alignment horizontal="center"/>
      <protection locked="0"/>
    </xf>
    <xf numFmtId="167" fontId="19" fillId="2" borderId="34" xfId="1" applyNumberFormat="1" applyFont="1" applyFill="1" applyBorder="1" applyAlignment="1" applyProtection="1">
      <alignment horizontal="center"/>
      <protection locked="0"/>
    </xf>
    <xf numFmtId="167" fontId="19" fillId="2" borderId="35" xfId="1" applyNumberFormat="1" applyFont="1" applyFill="1" applyBorder="1" applyAlignment="1" applyProtection="1">
      <alignment horizontal="center"/>
      <protection locked="0"/>
    </xf>
    <xf numFmtId="167" fontId="16" fillId="2" borderId="36" xfId="1" applyNumberFormat="1" applyFont="1" applyFill="1" applyBorder="1" applyAlignment="1" applyProtection="1">
      <alignment horizontal="left"/>
      <protection locked="0"/>
    </xf>
    <xf numFmtId="167" fontId="16" fillId="5" borderId="37" xfId="1" applyNumberFormat="1" applyFont="1" applyFill="1" applyBorder="1" applyAlignment="1" applyProtection="1">
      <alignment horizontal="center"/>
      <protection locked="0"/>
    </xf>
    <xf numFmtId="167" fontId="16" fillId="5" borderId="34" xfId="1" applyNumberFormat="1" applyFont="1" applyFill="1" applyBorder="1" applyAlignment="1" applyProtection="1">
      <alignment horizontal="center"/>
      <protection locked="0"/>
    </xf>
    <xf numFmtId="167" fontId="16" fillId="5" borderId="35" xfId="1" applyNumberFormat="1" applyFont="1" applyFill="1" applyBorder="1" applyAlignment="1" applyProtection="1">
      <alignment horizontal="center"/>
      <protection locked="0"/>
    </xf>
    <xf numFmtId="167" fontId="16" fillId="2" borderId="1" xfId="1" applyNumberFormat="1" applyFont="1" applyFill="1" applyBorder="1" applyAlignment="1" applyProtection="1">
      <alignment horizontal="left"/>
      <protection locked="0"/>
    </xf>
    <xf numFmtId="167" fontId="16" fillId="2" borderId="37" xfId="1" applyNumberFormat="1" applyFont="1" applyFill="1" applyBorder="1" applyAlignment="1" applyProtection="1">
      <alignment horizontal="center"/>
      <protection locked="0"/>
    </xf>
    <xf numFmtId="167" fontId="16" fillId="2" borderId="34" xfId="1" applyNumberFormat="1" applyFont="1" applyFill="1" applyBorder="1" applyAlignment="1" applyProtection="1">
      <alignment horizontal="center"/>
      <protection locked="0"/>
    </xf>
    <xf numFmtId="167" fontId="16" fillId="2" borderId="35" xfId="1" applyNumberFormat="1" applyFont="1" applyFill="1" applyBorder="1" applyAlignment="1" applyProtection="1">
      <alignment horizontal="center"/>
      <protection locked="0"/>
    </xf>
    <xf numFmtId="167" fontId="16" fillId="4" borderId="34" xfId="1" applyNumberFormat="1" applyFont="1" applyFill="1" applyBorder="1" applyAlignment="1" applyProtection="1">
      <alignment horizontal="center"/>
      <protection locked="0"/>
    </xf>
    <xf numFmtId="164" fontId="36" fillId="2" borderId="0" xfId="1" applyNumberFormat="1" applyFont="1" applyFill="1" applyBorder="1" applyProtection="1">
      <protection locked="0"/>
    </xf>
    <xf numFmtId="165" fontId="16" fillId="2" borderId="2" xfId="1" applyNumberFormat="1" applyFont="1" applyFill="1" applyBorder="1" applyProtection="1">
      <protection locked="0"/>
    </xf>
    <xf numFmtId="164" fontId="36" fillId="2" borderId="34" xfId="1" applyNumberFormat="1" applyFont="1" applyFill="1" applyBorder="1" applyProtection="1">
      <protection locked="0"/>
    </xf>
    <xf numFmtId="0" fontId="16" fillId="2" borderId="1" xfId="0" applyFont="1" applyFill="1" applyBorder="1" applyProtection="1">
      <protection locked="0"/>
    </xf>
    <xf numFmtId="0" fontId="1" fillId="2" borderId="36" xfId="0" applyFont="1" applyFill="1" applyBorder="1" applyAlignment="1" applyProtection="1">
      <alignment horizontal="left"/>
      <protection locked="0"/>
    </xf>
    <xf numFmtId="172" fontId="36" fillId="2" borderId="38" xfId="1" applyNumberFormat="1" applyFont="1" applyFill="1" applyBorder="1" applyProtection="1">
      <protection locked="0"/>
    </xf>
    <xf numFmtId="172" fontId="36" fillId="2" borderId="39" xfId="1" applyNumberFormat="1" applyFont="1" applyFill="1" applyBorder="1" applyProtection="1">
      <protection locked="0"/>
    </xf>
    <xf numFmtId="172" fontId="36" fillId="2" borderId="40" xfId="1" applyNumberFormat="1" applyFont="1" applyFill="1" applyBorder="1" applyProtection="1">
      <protection locked="0"/>
    </xf>
    <xf numFmtId="0" fontId="16" fillId="2" borderId="1" xfId="0" applyFont="1" applyFill="1" applyBorder="1" applyAlignment="1" applyProtection="1">
      <alignment horizontal="left"/>
      <protection locked="0"/>
    </xf>
    <xf numFmtId="172" fontId="36" fillId="2" borderId="41" xfId="1" applyNumberFormat="1" applyFont="1" applyFill="1" applyBorder="1" applyProtection="1">
      <protection locked="0"/>
    </xf>
    <xf numFmtId="172" fontId="36" fillId="2" borderId="42" xfId="1" applyNumberFormat="1" applyFont="1" applyFill="1" applyBorder="1" applyProtection="1">
      <protection locked="0"/>
    </xf>
    <xf numFmtId="172" fontId="36" fillId="2" borderId="43" xfId="1" applyNumberFormat="1" applyFont="1" applyFill="1" applyBorder="1" applyProtection="1">
      <protection locked="0"/>
    </xf>
    <xf numFmtId="172" fontId="36" fillId="2" borderId="44" xfId="1" applyNumberFormat="1" applyFont="1" applyFill="1" applyBorder="1" applyProtection="1">
      <protection locked="0"/>
    </xf>
    <xf numFmtId="165" fontId="36" fillId="2" borderId="34" xfId="1" applyNumberFormat="1" applyFont="1" applyFill="1" applyBorder="1" applyProtection="1">
      <protection locked="0"/>
    </xf>
    <xf numFmtId="165" fontId="36" fillId="2" borderId="35" xfId="1" applyNumberFormat="1" applyFont="1" applyFill="1" applyBorder="1" applyProtection="1">
      <protection locked="0"/>
    </xf>
    <xf numFmtId="172" fontId="36" fillId="2" borderId="34" xfId="1" applyNumberFormat="1" applyFont="1" applyFill="1" applyBorder="1" applyProtection="1">
      <protection locked="0"/>
    </xf>
    <xf numFmtId="172" fontId="36" fillId="2" borderId="45" xfId="1" applyNumberFormat="1" applyFont="1" applyFill="1" applyBorder="1" applyProtection="1">
      <protection locked="0"/>
    </xf>
    <xf numFmtId="165" fontId="36" fillId="2" borderId="37" xfId="1" applyNumberFormat="1" applyFont="1" applyFill="1" applyBorder="1" applyProtection="1">
      <protection locked="0"/>
    </xf>
    <xf numFmtId="0" fontId="1" fillId="0" borderId="0" xfId="0" applyFont="1" applyAlignment="1" applyProtection="1">
      <alignment horizontal="center" vertical="center"/>
      <protection locked="0"/>
    </xf>
    <xf numFmtId="17" fontId="0" fillId="4" borderId="34" xfId="0" applyNumberFormat="1" applyFill="1" applyBorder="1" applyAlignment="1" applyProtection="1">
      <alignment horizontal="center"/>
      <protection locked="0"/>
    </xf>
    <xf numFmtId="167" fontId="16" fillId="2" borderId="2" xfId="1" applyNumberFormat="1" applyFont="1" applyFill="1" applyBorder="1" applyAlignment="1" applyProtection="1">
      <alignment horizontal="center"/>
      <protection locked="0"/>
    </xf>
    <xf numFmtId="167" fontId="16" fillId="2" borderId="46" xfId="1" applyNumberFormat="1" applyFont="1" applyFill="1" applyBorder="1" applyAlignment="1" applyProtection="1">
      <alignment horizontal="center"/>
      <protection locked="0"/>
    </xf>
    <xf numFmtId="167" fontId="16" fillId="2" borderId="45" xfId="1" applyNumberFormat="1" applyFont="1" applyFill="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45" xfId="0" applyFont="1" applyFill="1" applyBorder="1" applyAlignment="1" applyProtection="1">
      <alignment horizontal="center" vertical="center" wrapText="1"/>
      <protection locked="0"/>
    </xf>
    <xf numFmtId="0" fontId="16" fillId="0" borderId="0" xfId="0" applyFont="1" applyProtection="1">
      <protection locked="0"/>
    </xf>
    <xf numFmtId="17" fontId="1" fillId="4" borderId="34" xfId="0" applyNumberFormat="1" applyFont="1" applyFill="1" applyBorder="1" applyAlignment="1" applyProtection="1">
      <alignment horizontal="center"/>
      <protection locked="0"/>
    </xf>
    <xf numFmtId="0" fontId="16" fillId="0" borderId="0" xfId="0" applyFont="1" applyAlignment="1" applyProtection="1">
      <alignment horizontal="center"/>
      <protection locked="0"/>
    </xf>
    <xf numFmtId="167" fontId="16" fillId="4" borderId="47" xfId="1" applyNumberFormat="1" applyFont="1" applyFill="1" applyBorder="1" applyAlignment="1" applyProtection="1">
      <alignment horizontal="center"/>
      <protection locked="0"/>
    </xf>
    <xf numFmtId="167" fontId="16" fillId="4" borderId="36" xfId="1" applyNumberFormat="1" applyFont="1" applyFill="1" applyBorder="1" applyAlignment="1" applyProtection="1">
      <alignment horizontal="center"/>
      <protection locked="0"/>
    </xf>
    <xf numFmtId="164" fontId="16" fillId="0" borderId="39" xfId="1" applyNumberFormat="1" applyFont="1" applyBorder="1" applyProtection="1">
      <protection locked="0"/>
    </xf>
    <xf numFmtId="164" fontId="16" fillId="0" borderId="47" xfId="1" applyNumberFormat="1" applyFont="1" applyBorder="1" applyProtection="1">
      <protection locked="0"/>
    </xf>
    <xf numFmtId="164" fontId="16" fillId="0" borderId="0" xfId="1" applyNumberFormat="1" applyFont="1" applyBorder="1" applyProtection="1">
      <protection locked="0"/>
    </xf>
    <xf numFmtId="164" fontId="16" fillId="0" borderId="48" xfId="1" applyNumberFormat="1" applyFont="1" applyBorder="1" applyProtection="1">
      <protection locked="0"/>
    </xf>
    <xf numFmtId="164" fontId="16" fillId="0" borderId="42" xfId="1" applyNumberFormat="1" applyFont="1" applyBorder="1" applyProtection="1">
      <protection locked="0"/>
    </xf>
    <xf numFmtId="164" fontId="16" fillId="0" borderId="44" xfId="1" applyNumberFormat="1" applyFont="1" applyBorder="1" applyProtection="1">
      <protection locked="0"/>
    </xf>
    <xf numFmtId="0" fontId="19" fillId="0" borderId="46" xfId="0" applyFont="1" applyBorder="1" applyAlignment="1" applyProtection="1">
      <alignment horizontal="center"/>
      <protection locked="0"/>
    </xf>
    <xf numFmtId="164" fontId="19" fillId="0" borderId="34" xfId="1" applyNumberFormat="1" applyFont="1" applyBorder="1" applyProtection="1">
      <protection locked="0"/>
    </xf>
    <xf numFmtId="164" fontId="19" fillId="0" borderId="45" xfId="1" applyNumberFormat="1" applyFont="1" applyBorder="1" applyProtection="1">
      <protection locked="0"/>
    </xf>
    <xf numFmtId="0" fontId="37" fillId="2" borderId="36" xfId="0" applyFont="1" applyFill="1" applyBorder="1" applyAlignment="1" applyProtection="1">
      <alignment horizontal="center" vertical="center" wrapText="1"/>
      <protection locked="0"/>
    </xf>
    <xf numFmtId="164" fontId="16" fillId="0" borderId="38" xfId="1" applyNumberFormat="1" applyFont="1" applyBorder="1" applyProtection="1">
      <protection locked="0"/>
    </xf>
    <xf numFmtId="164" fontId="16" fillId="0" borderId="40" xfId="1" applyNumberFormat="1" applyFont="1" applyBorder="1" applyProtection="1">
      <protection locked="0"/>
    </xf>
    <xf numFmtId="0" fontId="37" fillId="2" borderId="1" xfId="0" applyFont="1" applyFill="1" applyBorder="1" applyAlignment="1" applyProtection="1">
      <alignment horizontal="center" vertical="center" wrapText="1"/>
      <protection locked="0"/>
    </xf>
    <xf numFmtId="164" fontId="16" fillId="0" borderId="24" xfId="1" applyNumberFormat="1" applyFont="1" applyBorder="1" applyProtection="1">
      <protection locked="0"/>
    </xf>
    <xf numFmtId="164" fontId="16" fillId="0" borderId="33" xfId="1" applyNumberFormat="1" applyFont="1" applyBorder="1" applyProtection="1">
      <protection locked="0"/>
    </xf>
    <xf numFmtId="0" fontId="37" fillId="2" borderId="49" xfId="0" applyFont="1" applyFill="1" applyBorder="1" applyAlignment="1" applyProtection="1">
      <alignment horizontal="center" vertical="center" wrapText="1"/>
      <protection locked="0"/>
    </xf>
    <xf numFmtId="164" fontId="16" fillId="0" borderId="41" xfId="1" applyNumberFormat="1" applyFont="1" applyBorder="1" applyProtection="1">
      <protection locked="0"/>
    </xf>
    <xf numFmtId="164" fontId="16" fillId="0" borderId="43" xfId="1" applyNumberFormat="1" applyFont="1" applyBorder="1" applyProtection="1">
      <protection locked="0"/>
    </xf>
    <xf numFmtId="0" fontId="0" fillId="6" borderId="0" xfId="0" applyFill="1" applyProtection="1">
      <protection locked="0"/>
    </xf>
    <xf numFmtId="0" fontId="0" fillId="6" borderId="35" xfId="0" applyFill="1" applyBorder="1" applyProtection="1">
      <protection locked="0"/>
    </xf>
    <xf numFmtId="164" fontId="16" fillId="0" borderId="34" xfId="1" applyNumberFormat="1" applyFont="1" applyBorder="1" applyProtection="1">
      <protection locked="0"/>
    </xf>
    <xf numFmtId="0" fontId="0" fillId="6" borderId="38" xfId="0" applyFill="1" applyBorder="1" applyProtection="1">
      <protection locked="0"/>
    </xf>
    <xf numFmtId="0" fontId="0" fillId="6" borderId="39" xfId="0" applyFill="1" applyBorder="1" applyProtection="1">
      <protection locked="0"/>
    </xf>
    <xf numFmtId="0" fontId="0" fillId="6" borderId="40" xfId="0" applyFill="1" applyBorder="1" applyProtection="1">
      <protection locked="0"/>
    </xf>
    <xf numFmtId="0" fontId="0" fillId="6" borderId="24" xfId="0" applyFill="1" applyBorder="1" applyProtection="1">
      <protection locked="0"/>
    </xf>
    <xf numFmtId="0" fontId="0" fillId="6" borderId="33" xfId="0" applyFill="1" applyBorder="1" applyProtection="1">
      <protection locked="0"/>
    </xf>
    <xf numFmtId="1" fontId="0" fillId="6" borderId="38" xfId="0" applyNumberFormat="1" applyFill="1" applyBorder="1" applyProtection="1">
      <protection locked="0"/>
    </xf>
    <xf numFmtId="0" fontId="0" fillId="6" borderId="41" xfId="0" applyFill="1" applyBorder="1" applyProtection="1">
      <protection locked="0"/>
    </xf>
    <xf numFmtId="0" fontId="0" fillId="6" borderId="42" xfId="0" applyFill="1" applyBorder="1" applyProtection="1">
      <protection locked="0"/>
    </xf>
    <xf numFmtId="0" fontId="0" fillId="6" borderId="43" xfId="0" applyFill="1" applyBorder="1" applyProtection="1">
      <protection locked="0"/>
    </xf>
    <xf numFmtId="0" fontId="16" fillId="0" borderId="2" xfId="0" applyFont="1" applyBorder="1" applyAlignment="1" applyProtection="1">
      <alignment horizontal="center" vertical="center"/>
      <protection locked="0"/>
    </xf>
    <xf numFmtId="0" fontId="16" fillId="0" borderId="46" xfId="0" applyFont="1" applyBorder="1" applyAlignment="1" applyProtection="1">
      <alignment horizontal="center"/>
      <protection locked="0"/>
    </xf>
    <xf numFmtId="0" fontId="19" fillId="0" borderId="0" xfId="0" applyFont="1" applyAlignment="1" applyProtection="1">
      <alignment horizontal="right"/>
      <protection locked="0"/>
    </xf>
    <xf numFmtId="1" fontId="16" fillId="0" borderId="37" xfId="0" applyNumberFormat="1" applyFont="1" applyBorder="1" applyAlignment="1" applyProtection="1">
      <alignment horizontal="center"/>
      <protection locked="0"/>
    </xf>
    <xf numFmtId="9" fontId="16" fillId="0" borderId="35" xfId="11" applyFont="1" applyFill="1" applyBorder="1" applyAlignment="1" applyProtection="1">
      <alignment horizontal="center"/>
      <protection locked="0"/>
    </xf>
    <xf numFmtId="0" fontId="19" fillId="0" borderId="34" xfId="0" applyFont="1" applyBorder="1" applyAlignment="1" applyProtection="1">
      <alignment horizontal="center"/>
      <protection locked="0"/>
    </xf>
    <xf numFmtId="0" fontId="19" fillId="0" borderId="45" xfId="0" applyFont="1" applyBorder="1" applyAlignment="1" applyProtection="1">
      <alignment horizontal="center"/>
      <protection locked="0"/>
    </xf>
    <xf numFmtId="0" fontId="19" fillId="0" borderId="39" xfId="0" applyFont="1" applyBorder="1" applyAlignment="1" applyProtection="1">
      <alignment horizontal="left"/>
      <protection locked="0"/>
    </xf>
    <xf numFmtId="0" fontId="19" fillId="0" borderId="0" xfId="0" applyFont="1" applyAlignment="1" applyProtection="1">
      <alignment horizontal="center"/>
      <protection locked="0"/>
    </xf>
    <xf numFmtId="0" fontId="19" fillId="0" borderId="33" xfId="0" applyFont="1" applyBorder="1" applyAlignment="1" applyProtection="1">
      <alignment horizontal="center"/>
      <protection locked="0"/>
    </xf>
    <xf numFmtId="0" fontId="16" fillId="2" borderId="45" xfId="1" applyNumberFormat="1" applyFont="1" applyFill="1" applyBorder="1" applyAlignment="1" applyProtection="1">
      <alignment horizontal="center"/>
      <protection locked="0"/>
    </xf>
    <xf numFmtId="164" fontId="16" fillId="2" borderId="2" xfId="1" applyNumberFormat="1" applyFont="1" applyFill="1" applyBorder="1" applyAlignment="1" applyProtection="1">
      <alignment horizontal="center"/>
      <protection locked="0"/>
    </xf>
    <xf numFmtId="3" fontId="16" fillId="0" borderId="2" xfId="0" applyNumberFormat="1" applyFont="1" applyBorder="1" applyProtection="1">
      <protection locked="0"/>
    </xf>
    <xf numFmtId="0" fontId="19" fillId="0" borderId="0" xfId="0" applyFont="1" applyAlignment="1" applyProtection="1">
      <alignment horizontal="left"/>
      <protection locked="0"/>
    </xf>
    <xf numFmtId="0" fontId="16" fillId="0" borderId="0" xfId="0" applyFont="1" applyAlignment="1" applyProtection="1">
      <alignment horizontal="left" indent="1"/>
      <protection locked="0"/>
    </xf>
    <xf numFmtId="0" fontId="16" fillId="0" borderId="33" xfId="0" applyFont="1" applyBorder="1" applyAlignment="1" applyProtection="1">
      <alignment horizontal="left" indent="1"/>
      <protection locked="0"/>
    </xf>
    <xf numFmtId="3" fontId="16" fillId="0" borderId="0" xfId="0" applyNumberFormat="1" applyFont="1" applyProtection="1">
      <protection locked="0"/>
    </xf>
    <xf numFmtId="0" fontId="19" fillId="0" borderId="50" xfId="0" applyFont="1" applyBorder="1" applyAlignment="1" applyProtection="1">
      <alignment horizontal="left"/>
      <protection locked="0"/>
    </xf>
    <xf numFmtId="0" fontId="19" fillId="0" borderId="51" xfId="0" applyFont="1" applyBorder="1" applyAlignment="1" applyProtection="1">
      <alignment horizontal="left"/>
      <protection locked="0"/>
    </xf>
    <xf numFmtId="3" fontId="19" fillId="0" borderId="50" xfId="0" applyNumberFormat="1" applyFont="1" applyBorder="1" applyProtection="1">
      <protection locked="0"/>
    </xf>
    <xf numFmtId="3" fontId="16" fillId="0" borderId="50" xfId="0" applyNumberFormat="1" applyFont="1" applyBorder="1" applyProtection="1">
      <protection locked="0"/>
    </xf>
    <xf numFmtId="0" fontId="16" fillId="0" borderId="52" xfId="0" applyFont="1" applyBorder="1" applyProtection="1">
      <protection locked="0"/>
    </xf>
    <xf numFmtId="3" fontId="16" fillId="0" borderId="0" xfId="0" applyNumberFormat="1" applyFont="1" applyAlignment="1" applyProtection="1">
      <alignment horizontal="center"/>
      <protection locked="0"/>
    </xf>
    <xf numFmtId="3" fontId="19" fillId="0" borderId="33" xfId="0" applyNumberFormat="1" applyFont="1" applyBorder="1" applyAlignment="1" applyProtection="1">
      <alignment horizontal="center"/>
      <protection locked="0"/>
    </xf>
    <xf numFmtId="0" fontId="16" fillId="0" borderId="33" xfId="0" applyFont="1" applyBorder="1" applyProtection="1">
      <protection locked="0"/>
    </xf>
    <xf numFmtId="3" fontId="19" fillId="0" borderId="0" xfId="0" applyNumberFormat="1" applyFont="1" applyAlignment="1" applyProtection="1">
      <alignment horizontal="center"/>
      <protection locked="0"/>
    </xf>
    <xf numFmtId="0" fontId="19" fillId="0" borderId="0" xfId="0" applyFont="1" applyProtection="1">
      <protection locked="0"/>
    </xf>
    <xf numFmtId="0" fontId="19" fillId="0" borderId="33" xfId="0" applyFont="1" applyBorder="1" applyProtection="1">
      <protection locked="0"/>
    </xf>
    <xf numFmtId="0" fontId="19" fillId="0" borderId="53" xfId="0" applyFont="1" applyBorder="1" applyAlignment="1" applyProtection="1">
      <alignment horizontal="left"/>
      <protection locked="0"/>
    </xf>
    <xf numFmtId="0" fontId="19" fillId="0" borderId="54" xfId="0" applyFont="1" applyBorder="1" applyAlignment="1" applyProtection="1">
      <alignment horizontal="left"/>
      <protection locked="0"/>
    </xf>
    <xf numFmtId="0" fontId="19" fillId="0" borderId="54" xfId="0" applyFont="1" applyBorder="1" applyProtection="1">
      <protection locked="0"/>
    </xf>
    <xf numFmtId="0" fontId="19" fillId="0" borderId="55" xfId="0" applyFont="1" applyBorder="1" applyProtection="1">
      <protection locked="0"/>
    </xf>
    <xf numFmtId="3" fontId="19" fillId="0" borderId="54" xfId="0" applyNumberFormat="1" applyFont="1" applyBorder="1" applyProtection="1">
      <protection locked="0"/>
    </xf>
    <xf numFmtId="3" fontId="19" fillId="0" borderId="56" xfId="0" applyNumberFormat="1" applyFont="1" applyBorder="1" applyProtection="1">
      <protection locked="0"/>
    </xf>
    <xf numFmtId="0" fontId="12" fillId="7" borderId="2" xfId="0" applyFont="1" applyFill="1" applyBorder="1" applyAlignment="1" applyProtection="1">
      <alignment horizontal="center" vertical="center" wrapText="1"/>
      <protection locked="0"/>
    </xf>
    <xf numFmtId="0" fontId="0" fillId="0" borderId="57" xfId="0" applyBorder="1" applyProtection="1">
      <protection locked="0"/>
    </xf>
    <xf numFmtId="0" fontId="1" fillId="0" borderId="0" xfId="0" applyFont="1" applyProtection="1">
      <protection locked="0"/>
    </xf>
    <xf numFmtId="0" fontId="0" fillId="0" borderId="58" xfId="0" applyBorder="1" applyProtection="1">
      <protection locked="0"/>
    </xf>
    <xf numFmtId="0" fontId="0" fillId="0" borderId="50" xfId="0" applyBorder="1" applyProtection="1">
      <protection locked="0"/>
    </xf>
    <xf numFmtId="0" fontId="0" fillId="0" borderId="51" xfId="0" applyBorder="1" applyProtection="1">
      <protection locked="0"/>
    </xf>
    <xf numFmtId="0" fontId="0" fillId="0" borderId="51" xfId="0" applyBorder="1"/>
    <xf numFmtId="0" fontId="38" fillId="2" borderId="0" xfId="0" applyFont="1" applyFill="1"/>
    <xf numFmtId="0" fontId="39" fillId="2" borderId="12" xfId="0" applyFont="1" applyFill="1" applyBorder="1" applyAlignment="1">
      <alignment horizontal="center"/>
    </xf>
    <xf numFmtId="0" fontId="40" fillId="2" borderId="0" xfId="0" applyFont="1" applyFill="1" applyAlignment="1">
      <alignment horizontal="center"/>
    </xf>
    <xf numFmtId="0" fontId="39" fillId="2" borderId="0" xfId="0" applyFont="1" applyFill="1"/>
    <xf numFmtId="0" fontId="41" fillId="0" borderId="0" xfId="0" applyFont="1"/>
    <xf numFmtId="0" fontId="38" fillId="0" borderId="0" xfId="0" applyFont="1"/>
    <xf numFmtId="0" fontId="42" fillId="2" borderId="22" xfId="0" applyFont="1" applyFill="1" applyBorder="1" applyAlignment="1">
      <alignment horizontal="center" vertical="center" wrapText="1"/>
    </xf>
    <xf numFmtId="0" fontId="42" fillId="2" borderId="27" xfId="0" applyFont="1" applyFill="1" applyBorder="1" applyAlignment="1">
      <alignment horizontal="center" vertical="center" wrapText="1"/>
    </xf>
    <xf numFmtId="0" fontId="42" fillId="2" borderId="6" xfId="0" applyFont="1" applyFill="1" applyBorder="1" applyAlignment="1">
      <alignment horizontal="center" vertical="center" wrapText="1"/>
    </xf>
    <xf numFmtId="0" fontId="42" fillId="2" borderId="21" xfId="0" applyFont="1" applyFill="1" applyBorder="1" applyAlignment="1">
      <alignment horizontal="center" vertical="center" wrapText="1"/>
    </xf>
    <xf numFmtId="0" fontId="43" fillId="2" borderId="26" xfId="0" applyFont="1" applyFill="1" applyBorder="1" applyAlignment="1">
      <alignment horizontal="center" vertical="center" wrapText="1"/>
    </xf>
    <xf numFmtId="0" fontId="38" fillId="6" borderId="8" xfId="0" applyFont="1" applyFill="1" applyBorder="1" applyAlignment="1">
      <alignment horizontal="center"/>
    </xf>
    <xf numFmtId="0" fontId="38" fillId="6" borderId="8" xfId="0" applyFont="1" applyFill="1" applyBorder="1" applyAlignment="1">
      <alignment horizontal="center" vertical="center"/>
    </xf>
    <xf numFmtId="9" fontId="38" fillId="6" borderId="8" xfId="9" applyFont="1" applyFill="1" applyBorder="1" applyAlignment="1" applyProtection="1">
      <alignment horizontal="center" vertical="center"/>
    </xf>
    <xf numFmtId="17" fontId="38" fillId="6" borderId="8" xfId="0" applyNumberFormat="1" applyFont="1" applyFill="1" applyBorder="1" applyAlignment="1">
      <alignment horizontal="center" vertical="center"/>
    </xf>
    <xf numFmtId="17" fontId="38" fillId="6" borderId="27" xfId="0" applyNumberFormat="1" applyFont="1" applyFill="1" applyBorder="1" applyAlignment="1">
      <alignment horizontal="center" vertical="center"/>
    </xf>
    <xf numFmtId="0" fontId="43" fillId="2" borderId="4" xfId="0" applyFont="1" applyFill="1" applyBorder="1" applyAlignment="1">
      <alignment horizontal="center" vertical="center" wrapText="1"/>
    </xf>
    <xf numFmtId="0" fontId="38" fillId="6" borderId="2" xfId="0" applyFont="1" applyFill="1" applyBorder="1" applyAlignment="1">
      <alignment horizontal="center"/>
    </xf>
    <xf numFmtId="0" fontId="38" fillId="6" borderId="2" xfId="0" applyFont="1" applyFill="1" applyBorder="1" applyAlignment="1">
      <alignment horizontal="center" vertical="center"/>
    </xf>
    <xf numFmtId="9" fontId="38" fillId="6" borderId="2" xfId="9" applyFont="1" applyFill="1" applyBorder="1" applyAlignment="1" applyProtection="1">
      <alignment horizontal="center" vertical="center"/>
    </xf>
    <xf numFmtId="17" fontId="38" fillId="6" borderId="2" xfId="0" applyNumberFormat="1" applyFont="1" applyFill="1" applyBorder="1" applyAlignment="1">
      <alignment horizontal="center" vertical="center"/>
    </xf>
    <xf numFmtId="17" fontId="38" fillId="6" borderId="10" xfId="0" applyNumberFormat="1" applyFont="1" applyFill="1" applyBorder="1" applyAlignment="1">
      <alignment horizontal="center" vertical="center"/>
    </xf>
    <xf numFmtId="0" fontId="43" fillId="2" borderId="5" xfId="0" applyFont="1" applyFill="1" applyBorder="1" applyAlignment="1">
      <alignment horizontal="center" vertical="center" wrapText="1"/>
    </xf>
    <xf numFmtId="0" fontId="38" fillId="2" borderId="6" xfId="0" applyFont="1" applyFill="1" applyBorder="1" applyAlignment="1">
      <alignment horizontal="center" vertical="center"/>
    </xf>
    <xf numFmtId="17" fontId="38" fillId="6" borderId="6" xfId="0" applyNumberFormat="1" applyFont="1" applyFill="1" applyBorder="1" applyAlignment="1">
      <alignment horizontal="center" vertical="center"/>
    </xf>
    <xf numFmtId="17" fontId="38" fillId="6" borderId="21" xfId="0" applyNumberFormat="1" applyFont="1" applyFill="1" applyBorder="1" applyAlignment="1">
      <alignment horizontal="center" vertical="center"/>
    </xf>
    <xf numFmtId="0" fontId="42" fillId="2" borderId="0" xfId="0" applyFont="1" applyFill="1" applyAlignment="1">
      <alignment horizontal="center" vertical="center" wrapText="1"/>
    </xf>
    <xf numFmtId="0" fontId="38" fillId="2" borderId="0" xfId="0" applyFont="1" applyFill="1" applyAlignment="1">
      <alignment vertical="center" textRotation="90"/>
    </xf>
    <xf numFmtId="0" fontId="38" fillId="0" borderId="0" xfId="0" applyFont="1" applyAlignment="1">
      <alignment vertical="center" textRotation="90"/>
    </xf>
    <xf numFmtId="49" fontId="43" fillId="6" borderId="26" xfId="0" applyNumberFormat="1" applyFont="1" applyFill="1" applyBorder="1" applyAlignment="1">
      <alignment horizontal="center"/>
    </xf>
    <xf numFmtId="1" fontId="38" fillId="6" borderId="22" xfId="0" applyNumberFormat="1" applyFont="1" applyFill="1" applyBorder="1" applyAlignment="1">
      <alignment horizontal="center"/>
    </xf>
    <xf numFmtId="1" fontId="38" fillId="6" borderId="9" xfId="0" applyNumberFormat="1" applyFont="1" applyFill="1" applyBorder="1" applyAlignment="1">
      <alignment horizontal="center"/>
    </xf>
    <xf numFmtId="49" fontId="43" fillId="6" borderId="4" xfId="0" applyNumberFormat="1" applyFont="1" applyFill="1" applyBorder="1" applyAlignment="1">
      <alignment horizontal="center"/>
    </xf>
    <xf numFmtId="1" fontId="38" fillId="6" borderId="1" xfId="0" applyNumberFormat="1" applyFont="1" applyFill="1" applyBorder="1" applyAlignment="1">
      <alignment horizontal="center"/>
    </xf>
    <xf numFmtId="1" fontId="38" fillId="6" borderId="25" xfId="0" applyNumberFormat="1" applyFont="1" applyFill="1" applyBorder="1" applyAlignment="1">
      <alignment horizontal="center"/>
    </xf>
    <xf numFmtId="1" fontId="38" fillId="6" borderId="49" xfId="0" applyNumberFormat="1" applyFont="1" applyFill="1" applyBorder="1" applyAlignment="1">
      <alignment horizontal="center"/>
    </xf>
    <xf numFmtId="1" fontId="38" fillId="6" borderId="59" xfId="0" applyNumberFormat="1" applyFont="1" applyFill="1" applyBorder="1" applyAlignment="1">
      <alignment horizontal="center"/>
    </xf>
    <xf numFmtId="0" fontId="43" fillId="2" borderId="0" xfId="0" applyFont="1" applyFill="1" applyAlignment="1">
      <alignment horizontal="center" vertical="center" textRotation="90" wrapText="1"/>
    </xf>
    <xf numFmtId="49" fontId="43" fillId="0" borderId="4" xfId="0" applyNumberFormat="1" applyFont="1" applyBorder="1" applyAlignment="1">
      <alignment horizontal="center"/>
    </xf>
    <xf numFmtId="10" fontId="38" fillId="6" borderId="2" xfId="9" applyNumberFormat="1" applyFont="1" applyFill="1" applyBorder="1" applyAlignment="1" applyProtection="1">
      <alignment horizontal="center"/>
    </xf>
    <xf numFmtId="10" fontId="38" fillId="6" borderId="10" xfId="9" applyNumberFormat="1" applyFont="1" applyFill="1" applyBorder="1" applyAlignment="1" applyProtection="1">
      <alignment horizontal="center"/>
    </xf>
    <xf numFmtId="0" fontId="38" fillId="2" borderId="32" xfId="0" applyFont="1" applyFill="1" applyBorder="1"/>
    <xf numFmtId="0" fontId="38" fillId="2" borderId="31" xfId="0" applyFont="1" applyFill="1" applyBorder="1"/>
    <xf numFmtId="10" fontId="38" fillId="6" borderId="6" xfId="9" applyNumberFormat="1" applyFont="1" applyFill="1" applyBorder="1" applyAlignment="1" applyProtection="1">
      <alignment horizontal="center"/>
    </xf>
    <xf numFmtId="0" fontId="38" fillId="2" borderId="21" xfId="0" applyFont="1" applyFill="1" applyBorder="1"/>
    <xf numFmtId="17" fontId="38" fillId="0" borderId="7" xfId="0" applyNumberFormat="1" applyFont="1" applyBorder="1" applyAlignment="1">
      <alignment horizontal="center"/>
    </xf>
    <xf numFmtId="0" fontId="38" fillId="0" borderId="7" xfId="0" applyFont="1" applyBorder="1"/>
    <xf numFmtId="0" fontId="38" fillId="0" borderId="28" xfId="0" applyFont="1" applyBorder="1"/>
    <xf numFmtId="0" fontId="38" fillId="0" borderId="88" xfId="0" applyFont="1" applyBorder="1"/>
    <xf numFmtId="167" fontId="38" fillId="0" borderId="6" xfId="1" applyNumberFormat="1" applyFont="1" applyFill="1" applyBorder="1" applyAlignment="1" applyProtection="1">
      <alignment horizontal="center"/>
    </xf>
    <xf numFmtId="167" fontId="38" fillId="0" borderId="21" xfId="1" applyNumberFormat="1" applyFont="1" applyFill="1" applyBorder="1" applyAlignment="1" applyProtection="1">
      <alignment horizontal="center"/>
    </xf>
    <xf numFmtId="1" fontId="38" fillId="6" borderId="22" xfId="0" applyNumberFormat="1" applyFont="1" applyFill="1" applyBorder="1"/>
    <xf numFmtId="1" fontId="38" fillId="6" borderId="9" xfId="0" applyNumberFormat="1" applyFont="1" applyFill="1" applyBorder="1"/>
    <xf numFmtId="1" fontId="38" fillId="6" borderId="1" xfId="0" applyNumberFormat="1" applyFont="1" applyFill="1" applyBorder="1"/>
    <xf numFmtId="1" fontId="38" fillId="6" borderId="25" xfId="0" applyNumberFormat="1" applyFont="1" applyFill="1" applyBorder="1"/>
    <xf numFmtId="1" fontId="38" fillId="6" borderId="60" xfId="0" applyNumberFormat="1" applyFont="1" applyFill="1" applyBorder="1"/>
    <xf numFmtId="1" fontId="38" fillId="6" borderId="61" xfId="0" applyNumberFormat="1" applyFont="1" applyFill="1" applyBorder="1"/>
    <xf numFmtId="167" fontId="38" fillId="0" borderId="36" xfId="1" applyNumberFormat="1" applyFont="1" applyFill="1" applyBorder="1" applyAlignment="1" applyProtection="1">
      <alignment horizontal="center"/>
    </xf>
    <xf numFmtId="167" fontId="38" fillId="0" borderId="62" xfId="1" applyNumberFormat="1" applyFont="1" applyFill="1" applyBorder="1" applyAlignment="1" applyProtection="1">
      <alignment horizontal="center"/>
    </xf>
    <xf numFmtId="0" fontId="38" fillId="6" borderId="22" xfId="0" applyFont="1" applyFill="1" applyBorder="1"/>
    <xf numFmtId="0" fontId="38" fillId="6" borderId="9" xfId="0" applyFont="1" applyFill="1" applyBorder="1"/>
    <xf numFmtId="0" fontId="38" fillId="6" borderId="1" xfId="0" applyFont="1" applyFill="1" applyBorder="1"/>
    <xf numFmtId="0" fontId="38" fillId="6" borderId="25" xfId="0" applyFont="1" applyFill="1" applyBorder="1"/>
    <xf numFmtId="17" fontId="38" fillId="0" borderId="8" xfId="0" applyNumberFormat="1" applyFont="1" applyBorder="1" applyAlignment="1">
      <alignment horizontal="center"/>
    </xf>
    <xf numFmtId="0" fontId="38" fillId="0" borderId="29" xfId="0" applyFont="1" applyBorder="1"/>
    <xf numFmtId="0" fontId="38" fillId="6" borderId="22" xfId="0" applyFont="1" applyFill="1" applyBorder="1" applyAlignment="1">
      <alignment horizontal="center" vertical="center"/>
    </xf>
    <xf numFmtId="0" fontId="38" fillId="2" borderId="63" xfId="0" applyFont="1" applyFill="1" applyBorder="1"/>
    <xf numFmtId="0" fontId="38" fillId="2" borderId="64" xfId="0" applyFont="1" applyFill="1" applyBorder="1"/>
    <xf numFmtId="1" fontId="38" fillId="6" borderId="36" xfId="0" applyNumberFormat="1" applyFont="1" applyFill="1" applyBorder="1" applyAlignment="1">
      <alignment horizontal="right" vertical="center"/>
    </xf>
    <xf numFmtId="1" fontId="38" fillId="6" borderId="62" xfId="0" applyNumberFormat="1" applyFont="1" applyFill="1" applyBorder="1" applyAlignment="1">
      <alignment horizontal="right" vertical="center"/>
    </xf>
    <xf numFmtId="1" fontId="38" fillId="6" borderId="60" xfId="0" applyNumberFormat="1" applyFont="1" applyFill="1" applyBorder="1" applyAlignment="1">
      <alignment horizontal="right" vertical="center"/>
    </xf>
    <xf numFmtId="1" fontId="38" fillId="6" borderId="61" xfId="0" applyNumberFormat="1" applyFont="1" applyFill="1" applyBorder="1" applyAlignment="1">
      <alignment horizontal="right" vertical="center"/>
    </xf>
    <xf numFmtId="0" fontId="38" fillId="6" borderId="1" xfId="0" applyFont="1" applyFill="1" applyBorder="1" applyAlignment="1">
      <alignment horizontal="center" vertical="center"/>
    </xf>
    <xf numFmtId="0" fontId="38" fillId="2" borderId="65" xfId="0" applyFont="1" applyFill="1" applyBorder="1"/>
    <xf numFmtId="165" fontId="38" fillId="2" borderId="2" xfId="1" applyNumberFormat="1" applyFont="1" applyFill="1" applyBorder="1" applyAlignment="1" applyProtection="1">
      <alignment horizontal="right"/>
    </xf>
    <xf numFmtId="9" fontId="38" fillId="6" borderId="2" xfId="0" applyNumberFormat="1" applyFont="1" applyFill="1" applyBorder="1" applyAlignment="1">
      <alignment horizontal="center"/>
    </xf>
    <xf numFmtId="0" fontId="38" fillId="2" borderId="50" xfId="0" applyFont="1" applyFill="1" applyBorder="1"/>
    <xf numFmtId="0" fontId="44" fillId="2" borderId="50" xfId="0" applyFont="1" applyFill="1" applyBorder="1"/>
    <xf numFmtId="0" fontId="0" fillId="2" borderId="51" xfId="0" applyFill="1" applyBorder="1"/>
    <xf numFmtId="0" fontId="45" fillId="2" borderId="12" xfId="0" applyFont="1" applyFill="1" applyBorder="1" applyAlignment="1">
      <alignment horizontal="center"/>
    </xf>
    <xf numFmtId="0" fontId="45" fillId="2" borderId="12" xfId="0" applyFont="1" applyFill="1" applyBorder="1"/>
    <xf numFmtId="0" fontId="46" fillId="2" borderId="12" xfId="0" applyFont="1" applyFill="1" applyBorder="1"/>
    <xf numFmtId="0" fontId="9" fillId="2" borderId="12" xfId="0" applyFont="1" applyFill="1" applyBorder="1"/>
    <xf numFmtId="164" fontId="9" fillId="2" borderId="12" xfId="1" applyNumberFormat="1" applyFont="1" applyFill="1" applyBorder="1" applyProtection="1"/>
    <xf numFmtId="0" fontId="9" fillId="2" borderId="0" xfId="0" applyFont="1" applyFill="1"/>
    <xf numFmtId="0" fontId="0" fillId="2" borderId="23" xfId="0" applyFill="1" applyBorder="1"/>
    <xf numFmtId="165" fontId="47" fillId="2" borderId="7" xfId="1" applyNumberFormat="1" applyFont="1" applyFill="1" applyBorder="1" applyAlignment="1" applyProtection="1">
      <alignment horizontal="center"/>
    </xf>
    <xf numFmtId="9" fontId="19" fillId="2" borderId="29" xfId="0" applyNumberFormat="1" applyFont="1" applyFill="1" applyBorder="1" applyAlignment="1">
      <alignment horizontal="center"/>
    </xf>
    <xf numFmtId="0" fontId="0" fillId="2" borderId="66" xfId="0" applyFill="1" applyBorder="1"/>
    <xf numFmtId="165" fontId="47" fillId="2" borderId="32" xfId="1" applyNumberFormat="1" applyFont="1" applyFill="1" applyBorder="1" applyAlignment="1" applyProtection="1">
      <alignment horizontal="center"/>
    </xf>
    <xf numFmtId="9" fontId="19" fillId="2" borderId="67" xfId="0" applyNumberFormat="1" applyFont="1" applyFill="1" applyBorder="1" applyAlignment="1">
      <alignment horizontal="center"/>
    </xf>
    <xf numFmtId="0" fontId="0" fillId="2" borderId="12" xfId="0" applyFill="1" applyBorder="1"/>
    <xf numFmtId="0" fontId="48" fillId="2" borderId="49" xfId="0" applyFont="1" applyFill="1" applyBorder="1"/>
    <xf numFmtId="0" fontId="35" fillId="2" borderId="49" xfId="0" applyFont="1" applyFill="1" applyBorder="1" applyAlignment="1">
      <alignment horizontal="center"/>
    </xf>
    <xf numFmtId="0" fontId="1" fillId="5" borderId="42" xfId="0" applyFont="1" applyFill="1" applyBorder="1" applyAlignment="1">
      <alignment horizontal="center" vertical="center"/>
    </xf>
    <xf numFmtId="0" fontId="1" fillId="5" borderId="28" xfId="0" applyFont="1" applyFill="1" applyBorder="1" applyAlignment="1">
      <alignment horizontal="center" vertical="center"/>
    </xf>
    <xf numFmtId="0" fontId="48" fillId="2" borderId="1" xfId="0" applyFont="1" applyFill="1" applyBorder="1"/>
    <xf numFmtId="0" fontId="13" fillId="4" borderId="0" xfId="1" applyNumberFormat="1" applyFont="1" applyFill="1" applyBorder="1" applyAlignment="1" applyProtection="1">
      <alignment horizontal="center"/>
    </xf>
    <xf numFmtId="0" fontId="48" fillId="2" borderId="36" xfId="0" applyFont="1" applyFill="1" applyBorder="1"/>
    <xf numFmtId="0" fontId="19" fillId="2" borderId="2" xfId="0" applyFont="1" applyFill="1" applyBorder="1" applyAlignment="1">
      <alignment horizontal="center"/>
    </xf>
    <xf numFmtId="167" fontId="19" fillId="2" borderId="34" xfId="1" applyNumberFormat="1" applyFont="1" applyFill="1" applyBorder="1" applyAlignment="1" applyProtection="1">
      <alignment horizontal="center"/>
    </xf>
    <xf numFmtId="167" fontId="16" fillId="2" borderId="36" xfId="1" applyNumberFormat="1" applyFont="1" applyFill="1" applyBorder="1" applyAlignment="1" applyProtection="1">
      <alignment horizontal="left"/>
    </xf>
    <xf numFmtId="167" fontId="16" fillId="2" borderId="1" xfId="1" applyNumberFormat="1" applyFont="1" applyFill="1" applyBorder="1" applyAlignment="1" applyProtection="1">
      <alignment horizontal="left"/>
    </xf>
    <xf numFmtId="0" fontId="47" fillId="2" borderId="36" xfId="0" applyFont="1" applyFill="1" applyBorder="1" applyAlignment="1">
      <alignment horizontal="center" vertical="center"/>
    </xf>
    <xf numFmtId="167" fontId="19" fillId="2" borderId="2" xfId="1" applyNumberFormat="1" applyFont="1" applyFill="1" applyBorder="1" applyAlignment="1" applyProtection="1">
      <alignment horizontal="left"/>
    </xf>
    <xf numFmtId="165" fontId="16" fillId="2" borderId="2" xfId="1" applyNumberFormat="1" applyFont="1" applyFill="1" applyBorder="1" applyProtection="1"/>
    <xf numFmtId="165" fontId="16" fillId="2" borderId="1" xfId="1" applyNumberFormat="1" applyFont="1" applyFill="1" applyBorder="1" applyProtection="1"/>
    <xf numFmtId="0" fontId="16" fillId="2" borderId="1" xfId="0" applyFont="1" applyFill="1" applyBorder="1"/>
    <xf numFmtId="0" fontId="1" fillId="2" borderId="36" xfId="0" applyFont="1" applyFill="1" applyBorder="1" applyAlignment="1">
      <alignment horizontal="left"/>
    </xf>
    <xf numFmtId="0" fontId="16" fillId="2" borderId="1" xfId="0" applyFont="1" applyFill="1" applyBorder="1" applyAlignment="1">
      <alignment horizontal="left"/>
    </xf>
    <xf numFmtId="0" fontId="19" fillId="2" borderId="49" xfId="0" applyFont="1" applyFill="1" applyBorder="1"/>
    <xf numFmtId="0" fontId="19" fillId="2" borderId="36" xfId="0" applyFont="1" applyFill="1" applyBorder="1"/>
    <xf numFmtId="0" fontId="1" fillId="2" borderId="49" xfId="0" applyFont="1" applyFill="1" applyBorder="1"/>
    <xf numFmtId="0" fontId="19" fillId="2" borderId="1" xfId="0" applyFont="1" applyFill="1" applyBorder="1"/>
    <xf numFmtId="0" fontId="1" fillId="2" borderId="1" xfId="0" applyFont="1" applyFill="1" applyBorder="1"/>
    <xf numFmtId="165" fontId="19" fillId="2" borderId="36" xfId="1" applyNumberFormat="1" applyFont="1" applyFill="1" applyBorder="1" applyProtection="1"/>
    <xf numFmtId="165" fontId="0" fillId="2" borderId="0" xfId="0" applyNumberFormat="1" applyFill="1"/>
    <xf numFmtId="165" fontId="1" fillId="2" borderId="49" xfId="1" applyNumberFormat="1" applyFont="1" applyFill="1" applyBorder="1" applyProtection="1"/>
    <xf numFmtId="0" fontId="1" fillId="2" borderId="60" xfId="0" applyFont="1" applyFill="1" applyBorder="1"/>
    <xf numFmtId="0" fontId="0" fillId="2" borderId="0" xfId="0" applyFill="1" applyAlignment="1">
      <alignment vertical="center" textRotation="90" wrapText="1"/>
    </xf>
    <xf numFmtId="0" fontId="47" fillId="2" borderId="0" xfId="0" applyFont="1" applyFill="1"/>
    <xf numFmtId="164" fontId="13" fillId="2" borderId="0" xfId="1" applyNumberFormat="1" applyFont="1" applyFill="1" applyProtection="1"/>
    <xf numFmtId="164" fontId="0" fillId="0" borderId="0" xfId="1" applyNumberFormat="1" applyFont="1" applyProtection="1"/>
    <xf numFmtId="0" fontId="35" fillId="2" borderId="0" xfId="0" applyFont="1" applyFill="1"/>
    <xf numFmtId="165" fontId="35" fillId="2" borderId="0" xfId="1" applyNumberFormat="1" applyFont="1" applyFill="1" applyBorder="1" applyProtection="1"/>
    <xf numFmtId="49" fontId="16" fillId="2" borderId="0" xfId="0" applyNumberFormat="1" applyFont="1" applyFill="1"/>
    <xf numFmtId="164" fontId="49" fillId="2" borderId="0" xfId="1" applyNumberFormat="1" applyFont="1" applyFill="1" applyProtection="1"/>
    <xf numFmtId="165" fontId="35" fillId="2" borderId="68" xfId="1" applyNumberFormat="1" applyFont="1" applyFill="1" applyBorder="1" applyProtection="1"/>
    <xf numFmtId="165" fontId="35" fillId="2" borderId="69" xfId="1" applyNumberFormat="1" applyFont="1" applyFill="1" applyBorder="1" applyAlignment="1" applyProtection="1">
      <alignment horizontal="right" vertical="center"/>
    </xf>
    <xf numFmtId="165" fontId="35" fillId="2" borderId="69" xfId="1" applyNumberFormat="1" applyFont="1" applyFill="1" applyBorder="1" applyAlignment="1" applyProtection="1">
      <alignment horizontal="right"/>
    </xf>
    <xf numFmtId="165" fontId="35" fillId="2" borderId="11" xfId="1" applyNumberFormat="1" applyFont="1" applyFill="1" applyBorder="1" applyProtection="1"/>
    <xf numFmtId="171" fontId="35" fillId="2" borderId="65" xfId="9" applyNumberFormat="1" applyFont="1" applyFill="1" applyBorder="1" applyProtection="1"/>
    <xf numFmtId="165" fontId="35" fillId="2" borderId="66" xfId="1" applyNumberFormat="1" applyFont="1" applyFill="1" applyBorder="1" applyProtection="1"/>
    <xf numFmtId="164" fontId="16" fillId="0" borderId="70" xfId="1" applyNumberFormat="1" applyFont="1" applyBorder="1" applyProtection="1">
      <protection locked="0"/>
    </xf>
    <xf numFmtId="164" fontId="16" fillId="0" borderId="57" xfId="1" applyNumberFormat="1" applyFont="1" applyBorder="1" applyProtection="1">
      <protection locked="0"/>
    </xf>
    <xf numFmtId="164" fontId="16" fillId="0" borderId="71" xfId="1" applyNumberFormat="1" applyFont="1" applyBorder="1" applyProtection="1">
      <protection locked="0"/>
    </xf>
    <xf numFmtId="164" fontId="36" fillId="7" borderId="39" xfId="1" applyNumberFormat="1" applyFont="1" applyFill="1" applyBorder="1" applyProtection="1">
      <protection locked="0"/>
    </xf>
    <xf numFmtId="164" fontId="36" fillId="7" borderId="40" xfId="1" applyNumberFormat="1" applyFont="1" applyFill="1" applyBorder="1" applyProtection="1">
      <protection locked="0"/>
    </xf>
    <xf numFmtId="164" fontId="36" fillId="7" borderId="0" xfId="1" applyNumberFormat="1" applyFont="1" applyFill="1" applyBorder="1" applyProtection="1">
      <protection locked="0"/>
    </xf>
    <xf numFmtId="164" fontId="36" fillId="7" borderId="33" xfId="1" applyNumberFormat="1" applyFont="1" applyFill="1" applyBorder="1" applyProtection="1">
      <protection locked="0"/>
    </xf>
    <xf numFmtId="164" fontId="36" fillId="7" borderId="34" xfId="1" applyNumberFormat="1" applyFont="1" applyFill="1" applyBorder="1" applyProtection="1">
      <protection locked="0"/>
    </xf>
    <xf numFmtId="164" fontId="36" fillId="7" borderId="35" xfId="1" applyNumberFormat="1" applyFont="1" applyFill="1" applyBorder="1" applyProtection="1">
      <protection locked="0"/>
    </xf>
    <xf numFmtId="164" fontId="16" fillId="0" borderId="39" xfId="1" applyNumberFormat="1" applyFont="1" applyFill="1" applyBorder="1" applyProtection="1">
      <protection locked="0"/>
    </xf>
    <xf numFmtId="164" fontId="16" fillId="0" borderId="47" xfId="1" applyNumberFormat="1" applyFont="1" applyFill="1" applyBorder="1" applyProtection="1">
      <protection locked="0"/>
    </xf>
    <xf numFmtId="164" fontId="16" fillId="0" borderId="0" xfId="1" applyNumberFormat="1" applyFont="1" applyFill="1" applyBorder="1" applyProtection="1">
      <protection locked="0"/>
    </xf>
    <xf numFmtId="164" fontId="16" fillId="0" borderId="48" xfId="1" applyNumberFormat="1" applyFont="1" applyFill="1" applyBorder="1" applyProtection="1">
      <protection locked="0"/>
    </xf>
    <xf numFmtId="164" fontId="16" fillId="0" borderId="42" xfId="1" applyNumberFormat="1" applyFont="1" applyFill="1" applyBorder="1" applyProtection="1">
      <protection locked="0"/>
    </xf>
    <xf numFmtId="164" fontId="16" fillId="0" borderId="44" xfId="1" applyNumberFormat="1" applyFont="1" applyFill="1" applyBorder="1" applyProtection="1">
      <protection locked="0"/>
    </xf>
    <xf numFmtId="172" fontId="36" fillId="2" borderId="37" xfId="1" applyNumberFormat="1" applyFont="1" applyFill="1" applyBorder="1" applyProtection="1">
      <protection locked="0"/>
    </xf>
    <xf numFmtId="1" fontId="1" fillId="0" borderId="2" xfId="0" applyNumberFormat="1" applyFont="1" applyBorder="1" applyAlignment="1" applyProtection="1">
      <alignment horizontal="right"/>
      <protection locked="0"/>
    </xf>
    <xf numFmtId="1" fontId="3" fillId="0" borderId="2" xfId="0" applyNumberFormat="1" applyFont="1" applyBorder="1" applyAlignment="1" applyProtection="1">
      <alignment horizontal="right"/>
      <protection locked="0"/>
    </xf>
    <xf numFmtId="164" fontId="16" fillId="0" borderId="0" xfId="0" applyNumberFormat="1" applyFont="1" applyProtection="1">
      <protection locked="0"/>
    </xf>
    <xf numFmtId="0" fontId="18" fillId="2" borderId="12" xfId="0" applyFont="1" applyFill="1" applyBorder="1"/>
    <xf numFmtId="0" fontId="16" fillId="2" borderId="12" xfId="0" applyFont="1" applyFill="1" applyBorder="1"/>
    <xf numFmtId="0" fontId="16" fillId="2" borderId="0" xfId="0" quotePrefix="1" applyFont="1" applyFill="1"/>
    <xf numFmtId="0" fontId="16" fillId="0" borderId="36" xfId="0"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6" fillId="0" borderId="49" xfId="0" applyFont="1" applyBorder="1" applyAlignment="1" applyProtection="1">
      <alignment horizontal="center" vertical="center"/>
      <protection locked="0"/>
    </xf>
    <xf numFmtId="17" fontId="38" fillId="0" borderId="1" xfId="0" applyNumberFormat="1" applyFont="1" applyBorder="1" applyAlignment="1">
      <alignment horizontal="center"/>
    </xf>
    <xf numFmtId="0" fontId="38" fillId="0" borderId="24" xfId="0" applyFont="1" applyBorder="1"/>
    <xf numFmtId="0" fontId="38" fillId="0" borderId="65" xfId="0" applyFont="1" applyBorder="1"/>
    <xf numFmtId="166" fontId="38" fillId="6" borderId="11" xfId="0" applyNumberFormat="1" applyFont="1" applyFill="1" applyBorder="1" applyAlignment="1">
      <alignment horizontal="center"/>
    </xf>
    <xf numFmtId="166" fontId="38" fillId="6" borderId="48" xfId="0" applyNumberFormat="1" applyFont="1" applyFill="1" applyBorder="1" applyAlignment="1">
      <alignment horizontal="center"/>
    </xf>
    <xf numFmtId="1" fontId="38" fillId="6" borderId="1" xfId="0" applyNumberFormat="1" applyFont="1" applyFill="1" applyBorder="1" applyAlignment="1">
      <alignment horizontal="right" vertical="center"/>
    </xf>
    <xf numFmtId="1" fontId="38" fillId="6" borderId="0" xfId="0" applyNumberFormat="1" applyFont="1" applyFill="1" applyAlignment="1">
      <alignment horizontal="right" vertical="center"/>
    </xf>
    <xf numFmtId="1" fontId="38" fillId="6" borderId="65" xfId="0" applyNumberFormat="1" applyFont="1" applyFill="1" applyBorder="1" applyAlignment="1">
      <alignment horizontal="right" vertical="center"/>
    </xf>
    <xf numFmtId="165" fontId="38" fillId="2" borderId="0" xfId="1" applyNumberFormat="1" applyFont="1" applyFill="1" applyBorder="1" applyAlignment="1" applyProtection="1">
      <alignment horizontal="right"/>
    </xf>
    <xf numFmtId="10" fontId="16" fillId="3" borderId="38" xfId="9" applyNumberFormat="1" applyFont="1" applyFill="1" applyBorder="1" applyAlignment="1" applyProtection="1">
      <alignment horizontal="center" vertical="center"/>
      <protection locked="0"/>
    </xf>
    <xf numFmtId="10" fontId="16" fillId="3" borderId="62" xfId="9" applyNumberFormat="1" applyFont="1" applyFill="1" applyBorder="1" applyAlignment="1" applyProtection="1">
      <alignment horizontal="center" vertical="center"/>
      <protection locked="0"/>
    </xf>
    <xf numFmtId="10" fontId="16" fillId="3" borderId="6" xfId="9" applyNumberFormat="1" applyFont="1" applyFill="1" applyBorder="1" applyAlignment="1" applyProtection="1">
      <alignment horizontal="center" vertical="center"/>
      <protection locked="0"/>
    </xf>
    <xf numFmtId="0" fontId="1" fillId="3" borderId="8" xfId="0" applyFont="1" applyFill="1" applyBorder="1" applyAlignment="1" applyProtection="1">
      <alignment horizontal="center" vertical="center"/>
      <protection locked="0"/>
    </xf>
    <xf numFmtId="0" fontId="1" fillId="3" borderId="2" xfId="0" applyFont="1" applyFill="1" applyBorder="1" applyAlignment="1" applyProtection="1">
      <alignment horizontal="center" vertical="center"/>
      <protection locked="0"/>
    </xf>
    <xf numFmtId="1" fontId="16" fillId="3" borderId="22" xfId="0" applyNumberFormat="1" applyFont="1" applyFill="1" applyBorder="1" applyAlignment="1" applyProtection="1">
      <alignment vertical="center"/>
      <protection locked="0"/>
    </xf>
    <xf numFmtId="1" fontId="16" fillId="3" borderId="9" xfId="0" applyNumberFormat="1" applyFont="1" applyFill="1" applyBorder="1" applyAlignment="1" applyProtection="1">
      <alignment vertical="center"/>
      <protection locked="0"/>
    </xf>
    <xf numFmtId="1" fontId="16" fillId="3" borderId="1" xfId="0" applyNumberFormat="1" applyFont="1" applyFill="1" applyBorder="1" applyAlignment="1" applyProtection="1">
      <alignment vertical="center"/>
      <protection locked="0"/>
    </xf>
    <xf numFmtId="1" fontId="16" fillId="3" borderId="25" xfId="0" applyNumberFormat="1" applyFont="1" applyFill="1" applyBorder="1" applyAlignment="1" applyProtection="1">
      <alignment vertical="center"/>
      <protection locked="0"/>
    </xf>
    <xf numFmtId="1" fontId="16" fillId="3" borderId="60" xfId="0" applyNumberFormat="1" applyFont="1" applyFill="1" applyBorder="1" applyAlignment="1" applyProtection="1">
      <alignment vertical="center"/>
      <protection locked="0"/>
    </xf>
    <xf numFmtId="1" fontId="16" fillId="3" borderId="61" xfId="0" applyNumberFormat="1" applyFont="1" applyFill="1" applyBorder="1" applyAlignment="1" applyProtection="1">
      <alignment vertical="center"/>
      <protection locked="0"/>
    </xf>
    <xf numFmtId="167" fontId="16" fillId="4" borderId="36" xfId="1" applyNumberFormat="1" applyFont="1" applyFill="1" applyBorder="1" applyAlignment="1">
      <alignment horizontal="center" vertical="center"/>
    </xf>
    <xf numFmtId="167" fontId="16" fillId="4" borderId="62" xfId="1" applyNumberFormat="1" applyFont="1" applyFill="1" applyBorder="1" applyAlignment="1">
      <alignment horizontal="center" vertical="center"/>
    </xf>
    <xf numFmtId="0" fontId="16" fillId="2" borderId="63" xfId="0" applyFont="1" applyFill="1" applyBorder="1" applyAlignment="1">
      <alignment vertical="center"/>
    </xf>
    <xf numFmtId="0" fontId="16" fillId="2" borderId="64" xfId="0" applyFont="1" applyFill="1" applyBorder="1" applyAlignment="1">
      <alignment vertical="center"/>
    </xf>
    <xf numFmtId="0" fontId="16" fillId="2" borderId="0" xfId="0" applyFont="1" applyFill="1" applyAlignment="1">
      <alignment vertical="center"/>
    </xf>
    <xf numFmtId="0" fontId="16" fillId="2" borderId="65" xfId="0" applyFont="1" applyFill="1" applyBorder="1" applyAlignment="1">
      <alignment vertical="center"/>
    </xf>
    <xf numFmtId="10" fontId="16" fillId="3" borderId="2" xfId="9" applyNumberFormat="1" applyFont="1" applyFill="1" applyBorder="1" applyAlignment="1" applyProtection="1">
      <alignment horizontal="center" vertical="center"/>
      <protection locked="0"/>
    </xf>
    <xf numFmtId="167" fontId="16" fillId="4" borderId="6" xfId="1" applyNumberFormat="1" applyFont="1" applyFill="1" applyBorder="1" applyAlignment="1">
      <alignment horizontal="center" vertical="center"/>
    </xf>
    <xf numFmtId="167" fontId="16" fillId="4" borderId="21" xfId="1" applyNumberFormat="1" applyFont="1" applyFill="1" applyBorder="1" applyAlignment="1">
      <alignment horizontal="center" vertical="center"/>
    </xf>
    <xf numFmtId="173" fontId="16" fillId="3" borderId="3" xfId="0" applyNumberFormat="1" applyFont="1" applyFill="1" applyBorder="1" applyAlignment="1" applyProtection="1">
      <alignment horizontal="center" vertical="center"/>
      <protection locked="0"/>
    </xf>
    <xf numFmtId="173" fontId="16" fillId="3" borderId="22" xfId="0" applyNumberFormat="1" applyFont="1" applyFill="1" applyBorder="1" applyAlignment="1" applyProtection="1">
      <alignment horizontal="center" vertical="center"/>
      <protection locked="0"/>
    </xf>
    <xf numFmtId="173" fontId="16" fillId="3" borderId="63" xfId="0" applyNumberFormat="1" applyFont="1" applyFill="1" applyBorder="1" applyAlignment="1" applyProtection="1">
      <alignment horizontal="center" vertical="center"/>
      <protection locked="0"/>
    </xf>
    <xf numFmtId="173" fontId="16" fillId="3" borderId="9" xfId="0" applyNumberFormat="1" applyFont="1" applyFill="1" applyBorder="1" applyAlignment="1" applyProtection="1">
      <alignment horizontal="center" vertical="center"/>
      <protection locked="0"/>
    </xf>
    <xf numFmtId="173" fontId="16" fillId="3" borderId="24" xfId="0" applyNumberFormat="1" applyFont="1" applyFill="1" applyBorder="1" applyAlignment="1" applyProtection="1">
      <alignment horizontal="center" vertical="center"/>
      <protection locked="0"/>
    </xf>
    <xf numFmtId="173" fontId="16" fillId="3" borderId="1" xfId="0" applyNumberFormat="1" applyFont="1" applyFill="1" applyBorder="1" applyAlignment="1" applyProtection="1">
      <alignment horizontal="center" vertical="center"/>
      <protection locked="0"/>
    </xf>
    <xf numFmtId="173" fontId="16" fillId="3" borderId="0" xfId="0" applyNumberFormat="1" applyFont="1" applyFill="1" applyAlignment="1" applyProtection="1">
      <alignment horizontal="center" vertical="center"/>
      <protection locked="0"/>
    </xf>
    <xf numFmtId="173" fontId="16" fillId="3" borderId="25" xfId="0" applyNumberFormat="1" applyFont="1" applyFill="1" applyBorder="1" applyAlignment="1" applyProtection="1">
      <alignment horizontal="center" vertical="center"/>
      <protection locked="0"/>
    </xf>
    <xf numFmtId="173" fontId="16" fillId="3" borderId="22" xfId="0" applyNumberFormat="1" applyFont="1" applyFill="1" applyBorder="1" applyAlignment="1" applyProtection="1">
      <alignment vertical="center"/>
      <protection locked="0"/>
    </xf>
    <xf numFmtId="173" fontId="16" fillId="3" borderId="9" xfId="0" applyNumberFormat="1" applyFont="1" applyFill="1" applyBorder="1" applyAlignment="1" applyProtection="1">
      <alignment vertical="center"/>
      <protection locked="0"/>
    </xf>
    <xf numFmtId="173" fontId="16" fillId="3" borderId="1" xfId="0" applyNumberFormat="1" applyFont="1" applyFill="1" applyBorder="1" applyAlignment="1" applyProtection="1">
      <alignment vertical="center"/>
      <protection locked="0"/>
    </xf>
    <xf numFmtId="173" fontId="16" fillId="3" borderId="25" xfId="0" applyNumberFormat="1" applyFont="1" applyFill="1" applyBorder="1" applyAlignment="1" applyProtection="1">
      <alignment vertical="center"/>
      <protection locked="0"/>
    </xf>
    <xf numFmtId="173" fontId="16" fillId="3" borderId="60" xfId="0" applyNumberFormat="1" applyFont="1" applyFill="1" applyBorder="1" applyAlignment="1" applyProtection="1">
      <alignment vertical="center"/>
      <protection locked="0"/>
    </xf>
    <xf numFmtId="173" fontId="16" fillId="3" borderId="61" xfId="0" applyNumberFormat="1" applyFont="1" applyFill="1" applyBorder="1" applyAlignment="1" applyProtection="1">
      <alignment vertical="center"/>
      <protection locked="0"/>
    </xf>
    <xf numFmtId="173" fontId="16" fillId="3" borderId="36" xfId="0" applyNumberFormat="1" applyFont="1" applyFill="1" applyBorder="1" applyAlignment="1" applyProtection="1">
      <alignment horizontal="right" vertical="center"/>
      <protection locked="0"/>
    </xf>
    <xf numFmtId="173" fontId="16" fillId="3" borderId="62" xfId="0" applyNumberFormat="1" applyFont="1" applyFill="1" applyBorder="1" applyAlignment="1" applyProtection="1">
      <alignment horizontal="right" vertical="center"/>
      <protection locked="0"/>
    </xf>
    <xf numFmtId="173" fontId="16" fillId="3" borderId="60" xfId="0" applyNumberFormat="1" applyFont="1" applyFill="1" applyBorder="1" applyAlignment="1" applyProtection="1">
      <alignment horizontal="right" vertical="center"/>
      <protection locked="0"/>
    </xf>
    <xf numFmtId="173" fontId="16" fillId="3" borderId="61" xfId="0" applyNumberFormat="1" applyFont="1" applyFill="1" applyBorder="1" applyAlignment="1" applyProtection="1">
      <alignment horizontal="right" vertical="center"/>
      <protection locked="0"/>
    </xf>
    <xf numFmtId="173" fontId="16" fillId="3" borderId="8" xfId="0" applyNumberFormat="1" applyFont="1" applyFill="1" applyBorder="1" applyAlignment="1" applyProtection="1">
      <alignment horizontal="center" vertical="center"/>
      <protection locked="0"/>
    </xf>
    <xf numFmtId="173" fontId="16" fillId="3" borderId="2" xfId="0" applyNumberFormat="1" applyFont="1" applyFill="1" applyBorder="1" applyAlignment="1" applyProtection="1">
      <alignment horizontal="center" vertical="center"/>
      <protection locked="0"/>
    </xf>
    <xf numFmtId="174" fontId="36" fillId="2" borderId="39" xfId="1" applyNumberFormat="1" applyFont="1" applyFill="1" applyBorder="1" applyProtection="1"/>
    <xf numFmtId="174" fontId="36" fillId="2" borderId="0" xfId="1" applyNumberFormat="1" applyFont="1" applyFill="1" applyBorder="1" applyProtection="1"/>
    <xf numFmtId="174" fontId="50" fillId="2" borderId="34" xfId="1" applyNumberFormat="1" applyFont="1" applyFill="1" applyBorder="1" applyProtection="1"/>
    <xf numFmtId="174" fontId="36" fillId="2" borderId="34" xfId="1" applyNumberFormat="1" applyFont="1" applyFill="1" applyBorder="1" applyProtection="1"/>
    <xf numFmtId="174" fontId="1" fillId="2" borderId="39" xfId="1" applyNumberFormat="1" applyFont="1" applyFill="1" applyBorder="1" applyProtection="1"/>
    <xf numFmtId="174" fontId="1" fillId="2" borderId="24" xfId="1" applyNumberFormat="1" applyFont="1" applyFill="1" applyBorder="1" applyProtection="1"/>
    <xf numFmtId="174" fontId="1" fillId="2" borderId="0" xfId="1" applyNumberFormat="1" applyFont="1" applyFill="1" applyBorder="1" applyProtection="1"/>
    <xf numFmtId="174" fontId="50" fillId="2" borderId="0" xfId="1" applyNumberFormat="1" applyFont="1" applyFill="1" applyBorder="1" applyProtection="1"/>
    <xf numFmtId="174" fontId="50" fillId="2" borderId="39" xfId="1" applyNumberFormat="1" applyFont="1" applyFill="1" applyBorder="1" applyProtection="1"/>
    <xf numFmtId="174" fontId="1" fillId="2" borderId="42" xfId="1" applyNumberFormat="1" applyFont="1" applyFill="1" applyBorder="1" applyProtection="1"/>
    <xf numFmtId="174" fontId="36" fillId="2" borderId="42" xfId="1" applyNumberFormat="1" applyFont="1" applyFill="1" applyBorder="1" applyProtection="1"/>
    <xf numFmtId="174" fontId="1" fillId="2" borderId="12" xfId="1" applyNumberFormat="1" applyFont="1" applyFill="1" applyBorder="1" applyProtection="1"/>
    <xf numFmtId="174" fontId="36" fillId="2" borderId="72" xfId="1" applyNumberFormat="1" applyFont="1" applyFill="1" applyBorder="1" applyProtection="1"/>
    <xf numFmtId="174" fontId="50" fillId="2" borderId="11" xfId="1" applyNumberFormat="1" applyFont="1" applyFill="1" applyBorder="1" applyProtection="1"/>
    <xf numFmtId="49" fontId="16" fillId="0" borderId="40" xfId="0" applyNumberFormat="1" applyFont="1" applyBorder="1" applyAlignment="1" applyProtection="1">
      <alignment horizontal="center"/>
      <protection locked="0"/>
    </xf>
    <xf numFmtId="49" fontId="16" fillId="0" borderId="33" xfId="0" applyNumberFormat="1" applyFont="1" applyBorder="1" applyAlignment="1" applyProtection="1">
      <alignment horizontal="center"/>
      <protection locked="0"/>
    </xf>
    <xf numFmtId="49" fontId="16" fillId="0" borderId="43" xfId="0" applyNumberFormat="1" applyFont="1" applyBorder="1" applyAlignment="1" applyProtection="1">
      <alignment horizontal="center"/>
      <protection locked="0"/>
    </xf>
    <xf numFmtId="164" fontId="16" fillId="0" borderId="45" xfId="1" applyNumberFormat="1" applyFont="1" applyBorder="1" applyProtection="1">
      <protection locked="0"/>
    </xf>
    <xf numFmtId="15" fontId="51" fillId="0" borderId="0" xfId="0" quotePrefix="1" applyNumberFormat="1" applyFont="1" applyAlignment="1">
      <alignment horizontal="left"/>
    </xf>
    <xf numFmtId="0" fontId="51" fillId="0" borderId="0" xfId="0" quotePrefix="1" applyFont="1" applyAlignment="1">
      <alignment horizontal="left"/>
    </xf>
    <xf numFmtId="49" fontId="16" fillId="2" borderId="11" xfId="0" applyNumberFormat="1" applyFont="1" applyFill="1" applyBorder="1" applyAlignment="1">
      <alignment horizontal="center"/>
    </xf>
    <xf numFmtId="0" fontId="16" fillId="2" borderId="48" xfId="0" applyFont="1" applyFill="1" applyBorder="1" applyAlignment="1">
      <alignment horizontal="center"/>
    </xf>
    <xf numFmtId="0" fontId="24" fillId="2" borderId="12" xfId="0" applyFont="1" applyFill="1" applyBorder="1" applyAlignment="1">
      <alignment horizontal="left"/>
    </xf>
    <xf numFmtId="0" fontId="2" fillId="2" borderId="9"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11" fillId="2" borderId="78" xfId="0" applyFont="1" applyFill="1" applyBorder="1" applyAlignment="1">
      <alignment horizontal="center" vertical="center" wrapText="1"/>
    </xf>
    <xf numFmtId="0" fontId="11" fillId="2" borderId="79"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16" fillId="2" borderId="11" xfId="0" applyFont="1" applyFill="1" applyBorder="1" applyAlignment="1">
      <alignment horizontal="center"/>
    </xf>
    <xf numFmtId="0" fontId="16" fillId="3" borderId="11" xfId="0" applyFont="1" applyFill="1" applyBorder="1" applyAlignment="1" applyProtection="1">
      <alignment horizontal="center"/>
      <protection locked="0"/>
    </xf>
    <xf numFmtId="0" fontId="16" fillId="3" borderId="48" xfId="0" applyFont="1" applyFill="1" applyBorder="1" applyAlignment="1" applyProtection="1">
      <alignment horizontal="center"/>
      <protection locked="0"/>
    </xf>
    <xf numFmtId="0" fontId="3" fillId="2" borderId="23" xfId="0" applyFont="1" applyFill="1" applyBorder="1" applyAlignment="1">
      <alignment horizontal="center" vertical="center"/>
    </xf>
    <xf numFmtId="0" fontId="3" fillId="2" borderId="73"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48" xfId="0" applyFont="1" applyFill="1" applyBorder="1" applyAlignment="1">
      <alignment horizontal="center" vertical="center"/>
    </xf>
    <xf numFmtId="0" fontId="16" fillId="2" borderId="23" xfId="0" applyFont="1" applyFill="1" applyBorder="1" applyAlignment="1">
      <alignment horizontal="center"/>
    </xf>
    <xf numFmtId="0" fontId="16" fillId="2" borderId="73" xfId="0" applyFont="1" applyFill="1" applyBorder="1" applyAlignment="1">
      <alignment horizontal="center"/>
    </xf>
    <xf numFmtId="0" fontId="3" fillId="2" borderId="26"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30" xfId="0" applyFont="1" applyFill="1" applyBorder="1" applyAlignment="1">
      <alignment horizontal="center" vertical="center"/>
    </xf>
    <xf numFmtId="0" fontId="3" fillId="2" borderId="36" xfId="0" applyFont="1" applyFill="1" applyBorder="1" applyAlignment="1">
      <alignment horizontal="center" vertical="center"/>
    </xf>
    <xf numFmtId="166" fontId="16" fillId="3" borderId="68" xfId="0" applyNumberFormat="1" applyFont="1" applyFill="1" applyBorder="1" applyAlignment="1" applyProtection="1">
      <alignment horizontal="center"/>
      <protection locked="0"/>
    </xf>
    <xf numFmtId="166" fontId="16" fillId="3" borderId="47" xfId="0" applyNumberFormat="1" applyFont="1" applyFill="1" applyBorder="1" applyAlignment="1" applyProtection="1">
      <alignment horizontal="center"/>
      <protection locked="0"/>
    </xf>
    <xf numFmtId="166" fontId="16" fillId="3" borderId="66" xfId="0" applyNumberFormat="1" applyFont="1" applyFill="1" applyBorder="1" applyAlignment="1" applyProtection="1">
      <alignment horizontal="center"/>
      <protection locked="0"/>
    </xf>
    <xf numFmtId="166" fontId="16" fillId="3" borderId="74" xfId="0" applyNumberFormat="1" applyFont="1" applyFill="1" applyBorder="1" applyAlignment="1" applyProtection="1">
      <alignment horizontal="center"/>
      <protection locked="0"/>
    </xf>
    <xf numFmtId="0" fontId="16" fillId="2" borderId="63" xfId="0" applyFont="1" applyFill="1" applyBorder="1" applyAlignment="1">
      <alignment horizontal="center"/>
    </xf>
    <xf numFmtId="0" fontId="21" fillId="0" borderId="75" xfId="0" applyFont="1" applyBorder="1" applyAlignment="1">
      <alignment horizontal="center" vertical="center" textRotation="90"/>
    </xf>
    <xf numFmtId="0" fontId="21" fillId="0" borderId="76" xfId="0" applyFont="1" applyBorder="1" applyAlignment="1">
      <alignment horizontal="center" vertical="center" textRotation="90"/>
    </xf>
    <xf numFmtId="0" fontId="21" fillId="0" borderId="77" xfId="0" applyFont="1" applyBorder="1" applyAlignment="1">
      <alignment horizontal="center" vertical="center" textRotation="90"/>
    </xf>
    <xf numFmtId="0" fontId="21" fillId="0" borderId="80" xfId="0" applyFont="1" applyBorder="1" applyAlignment="1">
      <alignment horizontal="center" vertical="center" textRotation="90"/>
    </xf>
    <xf numFmtId="0" fontId="21" fillId="0" borderId="81" xfId="0" applyFont="1" applyBorder="1" applyAlignment="1">
      <alignment horizontal="center" vertical="center" textRotation="90"/>
    </xf>
    <xf numFmtId="0" fontId="21" fillId="0" borderId="82" xfId="0" applyFont="1" applyBorder="1" applyAlignment="1">
      <alignment horizontal="center" vertical="center" textRotation="90"/>
    </xf>
    <xf numFmtId="0" fontId="16" fillId="3" borderId="66" xfId="0" applyFont="1" applyFill="1" applyBorder="1" applyAlignment="1" applyProtection="1">
      <alignment horizontal="center"/>
      <protection locked="0"/>
    </xf>
    <xf numFmtId="0" fontId="16" fillId="3" borderId="74" xfId="0" applyFont="1" applyFill="1" applyBorder="1" applyAlignment="1" applyProtection="1">
      <alignment horizontal="center"/>
      <protection locked="0"/>
    </xf>
    <xf numFmtId="170" fontId="2" fillId="2" borderId="8" xfId="0" applyNumberFormat="1" applyFont="1" applyFill="1" applyBorder="1" applyAlignment="1">
      <alignment horizontal="center" vertical="center" wrapText="1"/>
    </xf>
    <xf numFmtId="170" fontId="2" fillId="2" borderId="36" xfId="0" applyNumberFormat="1" applyFont="1" applyFill="1" applyBorder="1" applyAlignment="1">
      <alignment horizontal="center" vertical="center" wrapText="1"/>
    </xf>
    <xf numFmtId="0" fontId="3" fillId="2" borderId="78" xfId="0" applyFont="1" applyFill="1" applyBorder="1" applyAlignment="1">
      <alignment horizontal="center" vertical="center"/>
    </xf>
    <xf numFmtId="0" fontId="3" fillId="2" borderId="79" xfId="0" applyFont="1" applyFill="1" applyBorder="1" applyAlignment="1">
      <alignment horizontal="center" vertical="center"/>
    </xf>
    <xf numFmtId="0" fontId="21" fillId="0" borderId="75" xfId="0" applyFont="1" applyBorder="1" applyAlignment="1">
      <alignment horizontal="center" vertical="center" textRotation="90" wrapText="1"/>
    </xf>
    <xf numFmtId="0" fontId="21" fillId="0" borderId="76" xfId="0" applyFont="1" applyBorder="1" applyAlignment="1">
      <alignment horizontal="center" vertical="center" textRotation="90" wrapText="1"/>
    </xf>
    <xf numFmtId="0" fontId="21" fillId="0" borderId="77" xfId="0" applyFont="1" applyBorder="1" applyAlignment="1">
      <alignment horizontal="center" vertical="center" textRotation="90" wrapText="1"/>
    </xf>
    <xf numFmtId="49" fontId="16" fillId="2" borderId="66" xfId="0" applyNumberFormat="1" applyFont="1" applyFill="1" applyBorder="1" applyAlignment="1">
      <alignment horizontal="center"/>
    </xf>
    <xf numFmtId="0" fontId="16" fillId="2" borderId="74" xfId="0" applyFont="1" applyFill="1" applyBorder="1" applyAlignment="1">
      <alignment horizontal="center"/>
    </xf>
    <xf numFmtId="0" fontId="3" fillId="2" borderId="23" xfId="0" applyFont="1" applyFill="1" applyBorder="1" applyAlignment="1">
      <alignment horizontal="center" vertical="center" wrapText="1"/>
    </xf>
    <xf numFmtId="0" fontId="3" fillId="2" borderId="73"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48" xfId="0" applyFont="1" applyFill="1" applyBorder="1" applyAlignment="1">
      <alignment horizontal="center" vertical="center" wrapText="1"/>
    </xf>
    <xf numFmtId="49" fontId="16" fillId="2" borderId="23" xfId="0" applyNumberFormat="1" applyFont="1" applyFill="1" applyBorder="1" applyAlignment="1">
      <alignment horizontal="center"/>
    </xf>
    <xf numFmtId="164" fontId="47" fillId="2" borderId="84" xfId="1" applyNumberFormat="1" applyFont="1" applyFill="1" applyBorder="1" applyAlignment="1" applyProtection="1">
      <alignment horizontal="center"/>
    </xf>
    <xf numFmtId="164" fontId="47" fillId="2" borderId="29" xfId="1" applyNumberFormat="1" applyFont="1" applyFill="1" applyBorder="1" applyAlignment="1" applyProtection="1">
      <alignment horizontal="center"/>
    </xf>
    <xf numFmtId="0" fontId="47" fillId="2" borderId="2" xfId="0" applyFont="1" applyFill="1" applyBorder="1" applyAlignment="1">
      <alignment horizontal="center" vertical="center"/>
    </xf>
    <xf numFmtId="0" fontId="47" fillId="2" borderId="6" xfId="0" applyFont="1" applyFill="1" applyBorder="1" applyAlignment="1">
      <alignment horizontal="center" vertical="center"/>
    </xf>
    <xf numFmtId="0" fontId="50" fillId="2" borderId="78" xfId="0" applyFont="1" applyFill="1" applyBorder="1" applyAlignment="1">
      <alignment horizontal="center" vertical="center" textRotation="90"/>
    </xf>
    <xf numFmtId="0" fontId="50" fillId="2" borderId="79" xfId="0" applyFont="1" applyFill="1" applyBorder="1" applyAlignment="1">
      <alignment horizontal="center" vertical="center" textRotation="90"/>
    </xf>
    <xf numFmtId="0" fontId="50" fillId="2" borderId="30" xfId="0" applyFont="1" applyFill="1" applyBorder="1" applyAlignment="1">
      <alignment horizontal="center" vertical="center" textRotation="90" wrapText="1"/>
    </xf>
    <xf numFmtId="0" fontId="50" fillId="2" borderId="79" xfId="0" applyFont="1" applyFill="1" applyBorder="1" applyAlignment="1">
      <alignment horizontal="center" vertical="center" textRotation="90" wrapText="1"/>
    </xf>
    <xf numFmtId="0" fontId="50" fillId="2" borderId="83" xfId="0" applyFont="1" applyFill="1" applyBorder="1" applyAlignment="1">
      <alignment horizontal="center" vertical="center" textRotation="90" wrapText="1"/>
    </xf>
    <xf numFmtId="0" fontId="47" fillId="2" borderId="36" xfId="0" applyFont="1" applyFill="1" applyBorder="1" applyAlignment="1">
      <alignment horizontal="center" vertical="center"/>
    </xf>
    <xf numFmtId="0" fontId="47" fillId="2" borderId="1" xfId="0" applyFont="1" applyFill="1" applyBorder="1" applyAlignment="1">
      <alignment horizontal="center" vertical="center"/>
    </xf>
    <xf numFmtId="0" fontId="47" fillId="2" borderId="49" xfId="0" applyFont="1" applyFill="1" applyBorder="1" applyAlignment="1">
      <alignment horizontal="center" vertical="center"/>
    </xf>
    <xf numFmtId="0" fontId="47" fillId="2" borderId="36" xfId="0" applyFont="1" applyFill="1" applyBorder="1" applyAlignment="1">
      <alignment horizontal="center" vertical="center" wrapText="1"/>
    </xf>
    <xf numFmtId="0" fontId="47" fillId="2" borderId="49" xfId="0" applyFont="1" applyFill="1" applyBorder="1" applyAlignment="1">
      <alignment horizontal="center" vertical="center" wrapText="1"/>
    </xf>
    <xf numFmtId="0" fontId="44" fillId="2" borderId="23" xfId="0" applyFont="1" applyFill="1" applyBorder="1" applyAlignment="1">
      <alignment horizontal="center" vertical="center"/>
    </xf>
    <xf numFmtId="0" fontId="44" fillId="2" borderId="73" xfId="0" applyFont="1" applyFill="1" applyBorder="1" applyAlignment="1">
      <alignment horizontal="center" vertical="center"/>
    </xf>
    <xf numFmtId="0" fontId="44" fillId="2" borderId="11" xfId="0" applyFont="1" applyFill="1" applyBorder="1" applyAlignment="1">
      <alignment horizontal="center" vertical="center"/>
    </xf>
    <xf numFmtId="0" fontId="44" fillId="2" borderId="48" xfId="0" applyFont="1" applyFill="1" applyBorder="1" applyAlignment="1">
      <alignment horizontal="center" vertical="center"/>
    </xf>
    <xf numFmtId="0" fontId="38" fillId="2" borderId="23" xfId="0" applyFont="1" applyFill="1" applyBorder="1" applyAlignment="1">
      <alignment horizontal="center"/>
    </xf>
    <xf numFmtId="0" fontId="38" fillId="2" borderId="73" xfId="0" applyFont="1" applyFill="1" applyBorder="1" applyAlignment="1">
      <alignment horizontal="center"/>
    </xf>
    <xf numFmtId="0" fontId="38" fillId="2" borderId="11" xfId="0" applyFont="1" applyFill="1" applyBorder="1" applyAlignment="1">
      <alignment horizontal="center"/>
    </xf>
    <xf numFmtId="0" fontId="38" fillId="2" borderId="48" xfId="0" applyFont="1" applyFill="1" applyBorder="1" applyAlignment="1">
      <alignment horizontal="center"/>
    </xf>
    <xf numFmtId="0" fontId="43" fillId="0" borderId="80" xfId="0" applyFont="1" applyBorder="1" applyAlignment="1">
      <alignment horizontal="center" vertical="center" textRotation="90"/>
    </xf>
    <xf numFmtId="0" fontId="43" fillId="0" borderId="85" xfId="0" applyFont="1" applyBorder="1" applyAlignment="1">
      <alignment horizontal="center" vertical="center" textRotation="90"/>
    </xf>
    <xf numFmtId="0" fontId="43" fillId="0" borderId="81" xfId="0" applyFont="1" applyBorder="1" applyAlignment="1">
      <alignment horizontal="center" vertical="center" textRotation="90"/>
    </xf>
    <xf numFmtId="0" fontId="43" fillId="0" borderId="82" xfId="0" applyFont="1" applyBorder="1" applyAlignment="1">
      <alignment horizontal="center" vertical="center" textRotation="90"/>
    </xf>
    <xf numFmtId="0" fontId="44" fillId="2" borderId="26" xfId="0" applyFont="1" applyFill="1" applyBorder="1" applyAlignment="1">
      <alignment horizontal="center" vertical="center"/>
    </xf>
    <xf numFmtId="0" fontId="44" fillId="2" borderId="8" xfId="0" applyFont="1" applyFill="1" applyBorder="1" applyAlignment="1">
      <alignment horizontal="center" vertical="center"/>
    </xf>
    <xf numFmtId="0" fontId="44" fillId="2" borderId="79" xfId="0" applyFont="1" applyFill="1" applyBorder="1" applyAlignment="1">
      <alignment horizontal="center" vertical="center"/>
    </xf>
    <xf numFmtId="0" fontId="44" fillId="2" borderId="1" xfId="0" applyFont="1" applyFill="1" applyBorder="1" applyAlignment="1">
      <alignment horizontal="center" vertical="center"/>
    </xf>
    <xf numFmtId="0" fontId="44" fillId="2" borderId="30" xfId="0" applyFont="1" applyFill="1" applyBorder="1" applyAlignment="1">
      <alignment horizontal="center" vertical="center"/>
    </xf>
    <xf numFmtId="0" fontId="44" fillId="2" borderId="36" xfId="0" applyFont="1" applyFill="1" applyBorder="1" applyAlignment="1">
      <alignment horizontal="center" vertical="center"/>
    </xf>
    <xf numFmtId="0" fontId="38" fillId="2" borderId="63" xfId="0" applyFont="1" applyFill="1" applyBorder="1" applyAlignment="1">
      <alignment horizontal="center"/>
    </xf>
    <xf numFmtId="166" fontId="38" fillId="6" borderId="68" xfId="0" applyNumberFormat="1" applyFont="1" applyFill="1" applyBorder="1" applyAlignment="1">
      <alignment horizontal="center"/>
    </xf>
    <xf numFmtId="166" fontId="38" fillId="6" borderId="47" xfId="0" applyNumberFormat="1" applyFont="1" applyFill="1" applyBorder="1" applyAlignment="1">
      <alignment horizontal="center"/>
    </xf>
    <xf numFmtId="166" fontId="38" fillId="6" borderId="66" xfId="0" applyNumberFormat="1" applyFont="1" applyFill="1" applyBorder="1" applyAlignment="1">
      <alignment horizontal="center"/>
    </xf>
    <xf numFmtId="166" fontId="38" fillId="6" borderId="74" xfId="0" applyNumberFormat="1" applyFont="1" applyFill="1" applyBorder="1" applyAlignment="1">
      <alignment horizontal="center"/>
    </xf>
    <xf numFmtId="0" fontId="39" fillId="2" borderId="12" xfId="0" applyFont="1" applyFill="1" applyBorder="1" applyAlignment="1">
      <alignment horizontal="left"/>
    </xf>
    <xf numFmtId="0" fontId="43" fillId="0" borderId="75" xfId="0" applyFont="1" applyBorder="1" applyAlignment="1">
      <alignment horizontal="center" vertical="center" textRotation="90" wrapText="1"/>
    </xf>
    <xf numFmtId="0" fontId="43" fillId="0" borderId="76" xfId="0" applyFont="1" applyBorder="1" applyAlignment="1">
      <alignment horizontal="center" vertical="center" textRotation="90" wrapText="1"/>
    </xf>
    <xf numFmtId="0" fontId="43" fillId="0" borderId="77" xfId="0" applyFont="1" applyBorder="1" applyAlignment="1">
      <alignment horizontal="center" vertical="center" textRotation="90" wrapText="1"/>
    </xf>
    <xf numFmtId="0" fontId="44" fillId="2" borderId="78" xfId="0" applyFont="1" applyFill="1" applyBorder="1" applyAlignment="1">
      <alignment horizontal="center" vertical="center"/>
    </xf>
    <xf numFmtId="0" fontId="42" fillId="2" borderId="22" xfId="0" applyFont="1" applyFill="1" applyBorder="1" applyAlignment="1">
      <alignment horizontal="center" vertical="center" wrapText="1"/>
    </xf>
    <xf numFmtId="0" fontId="42" fillId="2" borderId="60" xfId="0" applyFont="1" applyFill="1" applyBorder="1" applyAlignment="1">
      <alignment horizontal="center" vertical="center" wrapText="1"/>
    </xf>
    <xf numFmtId="0" fontId="42" fillId="2" borderId="9" xfId="0" applyFont="1" applyFill="1" applyBorder="1" applyAlignment="1">
      <alignment horizontal="center" vertical="center" wrapText="1"/>
    </xf>
    <xf numFmtId="0" fontId="42" fillId="2" borderId="61" xfId="0" applyFont="1" applyFill="1" applyBorder="1" applyAlignment="1">
      <alignment horizontal="center" vertical="center" wrapText="1"/>
    </xf>
    <xf numFmtId="0" fontId="40" fillId="2" borderId="78" xfId="0" applyFont="1" applyFill="1" applyBorder="1" applyAlignment="1">
      <alignment horizontal="center" vertical="center" wrapText="1"/>
    </xf>
    <xf numFmtId="0" fontId="40" fillId="2" borderId="79" xfId="0" applyFont="1" applyFill="1" applyBorder="1" applyAlignment="1">
      <alignment horizontal="center" vertical="center" wrapText="1"/>
    </xf>
    <xf numFmtId="170" fontId="42" fillId="2" borderId="8" xfId="0" applyNumberFormat="1" applyFont="1" applyFill="1" applyBorder="1" applyAlignment="1">
      <alignment horizontal="center" vertical="center" wrapText="1"/>
    </xf>
    <xf numFmtId="170" fontId="42" fillId="2" borderId="36" xfId="0" applyNumberFormat="1" applyFont="1" applyFill="1" applyBorder="1" applyAlignment="1">
      <alignment horizontal="center" vertical="center" wrapText="1"/>
    </xf>
    <xf numFmtId="170" fontId="42" fillId="2" borderId="22" xfId="0" applyNumberFormat="1" applyFont="1" applyFill="1" applyBorder="1" applyAlignment="1">
      <alignment horizontal="center" vertical="center" wrapText="1"/>
    </xf>
    <xf numFmtId="170" fontId="42" fillId="2" borderId="60" xfId="0" applyNumberFormat="1" applyFont="1" applyFill="1" applyBorder="1" applyAlignment="1">
      <alignment horizontal="center" vertical="center" wrapText="1"/>
    </xf>
    <xf numFmtId="0" fontId="16" fillId="0" borderId="36" xfId="0" applyFont="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6" fillId="0" borderId="49"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6" fillId="0" borderId="49" xfId="0" applyFont="1" applyBorder="1" applyAlignment="1" applyProtection="1">
      <alignment horizontal="center" vertical="center"/>
      <protection locked="0"/>
    </xf>
    <xf numFmtId="0" fontId="16" fillId="2" borderId="37" xfId="0" applyFont="1" applyFill="1" applyBorder="1" applyAlignment="1" applyProtection="1">
      <alignment horizontal="center" wrapText="1"/>
      <protection locked="0"/>
    </xf>
    <xf numFmtId="0" fontId="16" fillId="2" borderId="45" xfId="0" applyFont="1" applyFill="1" applyBorder="1" applyAlignment="1" applyProtection="1">
      <alignment horizontal="center" wrapText="1"/>
      <protection locked="0"/>
    </xf>
    <xf numFmtId="0" fontId="1" fillId="4" borderId="34" xfId="0" applyFont="1" applyFill="1" applyBorder="1" applyAlignment="1" applyProtection="1">
      <alignment horizontal="center"/>
      <protection locked="0"/>
    </xf>
    <xf numFmtId="1" fontId="1" fillId="5" borderId="37" xfId="0" applyNumberFormat="1" applyFont="1" applyFill="1" applyBorder="1" applyAlignment="1" applyProtection="1">
      <alignment horizontal="center" vertical="center"/>
      <protection locked="0"/>
    </xf>
    <xf numFmtId="1" fontId="1" fillId="5" borderId="34" xfId="0" applyNumberFormat="1" applyFont="1" applyFill="1" applyBorder="1" applyAlignment="1" applyProtection="1">
      <alignment horizontal="center" vertical="center"/>
      <protection locked="0"/>
    </xf>
    <xf numFmtId="1" fontId="1" fillId="5" borderId="35" xfId="0" applyNumberFormat="1" applyFont="1" applyFill="1" applyBorder="1" applyAlignment="1" applyProtection="1">
      <alignment horizontal="center" vertical="center"/>
      <protection locked="0"/>
    </xf>
    <xf numFmtId="164" fontId="1" fillId="4" borderId="34" xfId="1" applyNumberFormat="1" applyFont="1" applyFill="1" applyBorder="1" applyAlignment="1" applyProtection="1">
      <alignment horizontal="center"/>
      <protection locked="0"/>
    </xf>
    <xf numFmtId="164" fontId="1" fillId="4" borderId="45" xfId="1" applyNumberFormat="1" applyFont="1" applyFill="1" applyBorder="1" applyAlignment="1" applyProtection="1">
      <alignment horizontal="center"/>
      <protection locked="0"/>
    </xf>
    <xf numFmtId="0" fontId="1" fillId="4" borderId="45" xfId="0" applyFont="1" applyFill="1" applyBorder="1" applyAlignment="1" applyProtection="1">
      <alignment horizontal="center"/>
      <protection locked="0"/>
    </xf>
    <xf numFmtId="0" fontId="1" fillId="2" borderId="38"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41" xfId="0" applyFont="1" applyFill="1" applyBorder="1" applyAlignment="1" applyProtection="1">
      <alignment horizontal="center" vertical="center" wrapText="1"/>
      <protection locked="0"/>
    </xf>
    <xf numFmtId="0" fontId="1" fillId="2" borderId="43" xfId="0" applyFont="1" applyFill="1" applyBorder="1" applyAlignment="1" applyProtection="1">
      <alignment horizontal="center" vertical="center" wrapText="1"/>
      <protection locked="0"/>
    </xf>
    <xf numFmtId="49" fontId="38" fillId="2" borderId="86" xfId="0" applyNumberFormat="1" applyFont="1" applyFill="1" applyBorder="1" applyAlignment="1">
      <alignment horizontal="center"/>
    </xf>
    <xf numFmtId="49" fontId="38" fillId="2" borderId="45" xfId="0" applyNumberFormat="1" applyFont="1" applyFill="1" applyBorder="1" applyAlignment="1">
      <alignment horizontal="center"/>
    </xf>
    <xf numFmtId="0" fontId="38" fillId="6" borderId="11" xfId="0" applyFont="1" applyFill="1" applyBorder="1" applyAlignment="1">
      <alignment horizontal="center"/>
    </xf>
    <xf numFmtId="0" fontId="38" fillId="6" borderId="48" xfId="0" applyFont="1" applyFill="1" applyBorder="1" applyAlignment="1">
      <alignment horizontal="center"/>
    </xf>
    <xf numFmtId="0" fontId="38" fillId="6" borderId="66" xfId="0" applyFont="1" applyFill="1" applyBorder="1" applyAlignment="1">
      <alignment horizontal="center"/>
    </xf>
    <xf numFmtId="0" fontId="38" fillId="6" borderId="74" xfId="0" applyFont="1" applyFill="1" applyBorder="1" applyAlignment="1">
      <alignment horizontal="center"/>
    </xf>
    <xf numFmtId="0" fontId="44" fillId="2" borderId="23" xfId="0" applyFont="1" applyFill="1" applyBorder="1" applyAlignment="1">
      <alignment horizontal="center" vertical="center" wrapText="1"/>
    </xf>
    <xf numFmtId="0" fontId="44" fillId="2" borderId="73" xfId="0" applyFont="1" applyFill="1" applyBorder="1" applyAlignment="1">
      <alignment horizontal="center" vertical="center" wrapText="1"/>
    </xf>
    <xf numFmtId="0" fontId="44" fillId="2" borderId="11" xfId="0" applyFont="1" applyFill="1" applyBorder="1" applyAlignment="1">
      <alignment horizontal="center" vertical="center" wrapText="1"/>
    </xf>
    <xf numFmtId="0" fontId="44" fillId="2" borderId="48" xfId="0" applyFont="1" applyFill="1" applyBorder="1" applyAlignment="1">
      <alignment horizontal="center" vertical="center" wrapText="1"/>
    </xf>
    <xf numFmtId="49" fontId="38" fillId="2" borderId="87" xfId="0" applyNumberFormat="1" applyFont="1" applyFill="1" applyBorder="1" applyAlignment="1">
      <alignment horizontal="center"/>
    </xf>
    <xf numFmtId="49" fontId="38" fillId="2" borderId="31" xfId="0" applyNumberFormat="1" applyFont="1" applyFill="1" applyBorder="1" applyAlignment="1">
      <alignment horizontal="center"/>
    </xf>
    <xf numFmtId="0" fontId="43" fillId="0" borderId="75" xfId="0" applyFont="1" applyBorder="1" applyAlignment="1">
      <alignment horizontal="center" vertical="center" textRotation="90"/>
    </xf>
    <xf numFmtId="0" fontId="43" fillId="0" borderId="76" xfId="0" applyFont="1" applyBorder="1" applyAlignment="1">
      <alignment horizontal="center" vertical="center" textRotation="90"/>
    </xf>
    <xf numFmtId="0" fontId="43" fillId="0" borderId="77" xfId="0" applyFont="1" applyBorder="1" applyAlignment="1">
      <alignment horizontal="center" vertical="center" textRotation="90"/>
    </xf>
  </cellXfs>
  <cellStyles count="12">
    <cellStyle name="Comma" xfId="1" builtinId="3"/>
    <cellStyle name="Comma 2" xfId="2" xr:uid="{00000000-0005-0000-0000-000001000000}"/>
    <cellStyle name="Comma 3" xfId="3" xr:uid="{00000000-0005-0000-0000-000002000000}"/>
    <cellStyle name="Currency 2" xfId="4" xr:uid="{00000000-0005-0000-0000-000003000000}"/>
    <cellStyle name="Euro" xfId="5" xr:uid="{00000000-0005-0000-0000-000004000000}"/>
    <cellStyle name="Hyperlink" xfId="6" builtinId="8"/>
    <cellStyle name="Normal" xfId="0" builtinId="0"/>
    <cellStyle name="Normal 2" xfId="7" xr:uid="{00000000-0005-0000-0000-000007000000}"/>
    <cellStyle name="Normal 3" xfId="8" xr:uid="{00000000-0005-0000-0000-000008000000}"/>
    <cellStyle name="Per cent" xfId="9" builtinId="5"/>
    <cellStyle name="Percent 2" xfId="10" xr:uid="{00000000-0005-0000-0000-00000A000000}"/>
    <cellStyle name="Percent 3" xfId="11" xr:uid="{00000000-0005-0000-0000-00000B000000}"/>
  </cellStyles>
  <dxfs count="79">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rgb="FFFF0000"/>
        </patternFill>
      </fill>
    </dxf>
    <dxf>
      <font>
        <color theme="0"/>
      </font>
      <fill>
        <patternFill patternType="solid">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ill>
        <patternFill>
          <bgColor theme="0"/>
        </patternFill>
      </fill>
    </dxf>
    <dxf>
      <font>
        <color theme="0"/>
      </font>
      <fill>
        <patternFill>
          <bgColor theme="0"/>
        </patternFill>
      </fill>
      <border>
        <left/>
        <right/>
        <top/>
        <bottom/>
      </border>
    </dxf>
    <dxf>
      <fill>
        <patternFill>
          <bgColor theme="0"/>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3"/>
      </font>
      <fill>
        <patternFill>
          <bgColor rgb="FFFF99CC"/>
        </patternFill>
      </fill>
      <border>
        <left style="thin">
          <color indexed="64"/>
        </left>
        <right style="thin">
          <color indexed="64"/>
        </right>
        <top style="thin">
          <color indexed="64"/>
        </top>
        <bottom style="thin">
          <color indexed="64"/>
        </bottom>
      </border>
    </dxf>
    <dxf>
      <font>
        <color theme="0"/>
      </font>
      <fill>
        <patternFill patternType="none">
          <bgColor indexed="65"/>
        </patternFill>
      </fill>
    </dxf>
    <dxf>
      <font>
        <color theme="0"/>
      </font>
      <fill>
        <patternFill patternType="none">
          <bgColor indexed="65"/>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810686626828095"/>
          <c:y val="2.7838152082904546E-2"/>
          <c:w val="0.86732466221112059"/>
          <c:h val="0.69985228725884652"/>
        </c:manualLayout>
      </c:layout>
      <c:barChart>
        <c:barDir val="col"/>
        <c:grouping val="clustered"/>
        <c:varyColors val="0"/>
        <c:ser>
          <c:idx val="6"/>
          <c:order val="3"/>
          <c:tx>
            <c:strRef>
              <c:f>'II.Profit&amp;Loss+CashFlow'!$C$29:$C$30</c:f>
              <c:strCache>
                <c:ptCount val="1"/>
                <c:pt idx="0">
                  <c:v>Free Cash Flow (FCF)</c:v>
                </c:pt>
              </c:strCache>
            </c:strRef>
          </c:tx>
          <c:invertIfNegative val="0"/>
          <c:cat>
            <c:strRef>
              <c:f>'II.Profit&amp;Loss+CashFlow'!$E$8:$Y$8</c:f>
              <c:strCache>
                <c:ptCount val="21"/>
                <c:pt idx="0">
                  <c:v>0 </c:v>
                </c:pt>
                <c:pt idx="1">
                  <c:v>1 </c:v>
                </c:pt>
                <c:pt idx="2">
                  <c:v>2 </c:v>
                </c:pt>
                <c:pt idx="3">
                  <c:v>3 </c:v>
                </c:pt>
                <c:pt idx="4">
                  <c:v>4 </c:v>
                </c:pt>
                <c:pt idx="5">
                  <c:v>5 </c:v>
                </c:pt>
                <c:pt idx="6">
                  <c:v>6 </c:v>
                </c:pt>
                <c:pt idx="7">
                  <c:v>7 </c:v>
                </c:pt>
                <c:pt idx="8">
                  <c:v>8 </c:v>
                </c:pt>
                <c:pt idx="9">
                  <c:v>9 </c:v>
                </c:pt>
                <c:pt idx="10">
                  <c:v>10 </c:v>
                </c:pt>
                <c:pt idx="11">
                  <c:v> </c:v>
                </c:pt>
                <c:pt idx="12">
                  <c:v> </c:v>
                </c:pt>
                <c:pt idx="13">
                  <c:v> </c:v>
                </c:pt>
                <c:pt idx="14">
                  <c:v> </c:v>
                </c:pt>
                <c:pt idx="15">
                  <c:v> </c:v>
                </c:pt>
                <c:pt idx="16">
                  <c:v> </c:v>
                </c:pt>
                <c:pt idx="17">
                  <c:v> </c:v>
                </c:pt>
                <c:pt idx="18">
                  <c:v> </c:v>
                </c:pt>
                <c:pt idx="19">
                  <c:v> </c:v>
                </c:pt>
                <c:pt idx="20">
                  <c:v> </c:v>
                </c:pt>
              </c:strCache>
            </c:strRef>
          </c:cat>
          <c:val>
            <c:numRef>
              <c:f>'II.Profit&amp;Loss+CashFlow'!$E$29:$Y$29</c:f>
              <c:numCache>
                <c:formatCode>"€"\ #,##0_ ;[Red]\ "€"\ \-#,##0_ ;\ * "-"??_ ;_ @_ </c:formatCode>
                <c:ptCount val="21"/>
                <c:pt idx="0">
                  <c:v>-500000</c:v>
                </c:pt>
                <c:pt idx="1">
                  <c:v>-384065.93406593404</c:v>
                </c:pt>
                <c:pt idx="2">
                  <c:v>-320934.06593406596</c:v>
                </c:pt>
                <c:pt idx="3">
                  <c:v>218337.5</c:v>
                </c:pt>
                <c:pt idx="4">
                  <c:v>662839.82500000007</c:v>
                </c:pt>
                <c:pt idx="5">
                  <c:v>891841.82935000025</c:v>
                </c:pt>
                <c:pt idx="6">
                  <c:v>1119672.3493633</c:v>
                </c:pt>
                <c:pt idx="7">
                  <c:v>1418267.5482771089</c:v>
                </c:pt>
                <c:pt idx="8">
                  <c:v>1763314.9089970905</c:v>
                </c:pt>
                <c:pt idx="9">
                  <c:v>1898106.6460830523</c:v>
                </c:pt>
                <c:pt idx="10">
                  <c:v>2061492.3465468814</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95FF-224B-A631-19FA9F45B6D4}"/>
            </c:ext>
          </c:extLst>
        </c:ser>
        <c:dLbls>
          <c:showLegendKey val="0"/>
          <c:showVal val="0"/>
          <c:showCatName val="0"/>
          <c:showSerName val="0"/>
          <c:showPercent val="0"/>
          <c:showBubbleSize val="0"/>
        </c:dLbls>
        <c:gapWidth val="150"/>
        <c:axId val="1870850368"/>
        <c:axId val="1"/>
      </c:barChart>
      <c:lineChart>
        <c:grouping val="standard"/>
        <c:varyColors val="0"/>
        <c:ser>
          <c:idx val="0"/>
          <c:order val="0"/>
          <c:tx>
            <c:strRef>
              <c:f>'II.Profit&amp;Loss+CashFlow'!$C$31:$C$32</c:f>
              <c:strCache>
                <c:ptCount val="1"/>
                <c:pt idx="0">
                  <c:v>Cumulative Cash Flow (CCF)</c:v>
                </c:pt>
              </c:strCache>
            </c:strRef>
          </c:tx>
          <c:marker>
            <c:symbol val="none"/>
          </c:marker>
          <c:cat>
            <c:strRef>
              <c:f>'II.Profit&amp;Loss+CashFlow'!$E$8:$Y$8</c:f>
              <c:strCache>
                <c:ptCount val="21"/>
                <c:pt idx="0">
                  <c:v>0 </c:v>
                </c:pt>
                <c:pt idx="1">
                  <c:v>1 </c:v>
                </c:pt>
                <c:pt idx="2">
                  <c:v>2 </c:v>
                </c:pt>
                <c:pt idx="3">
                  <c:v>3 </c:v>
                </c:pt>
                <c:pt idx="4">
                  <c:v>4 </c:v>
                </c:pt>
                <c:pt idx="5">
                  <c:v>5 </c:v>
                </c:pt>
                <c:pt idx="6">
                  <c:v>6 </c:v>
                </c:pt>
                <c:pt idx="7">
                  <c:v>7 </c:v>
                </c:pt>
                <c:pt idx="8">
                  <c:v>8 </c:v>
                </c:pt>
                <c:pt idx="9">
                  <c:v>9 </c:v>
                </c:pt>
                <c:pt idx="10">
                  <c:v>10 </c:v>
                </c:pt>
                <c:pt idx="11">
                  <c:v> </c:v>
                </c:pt>
                <c:pt idx="12">
                  <c:v> </c:v>
                </c:pt>
                <c:pt idx="13">
                  <c:v> </c:v>
                </c:pt>
                <c:pt idx="14">
                  <c:v> </c:v>
                </c:pt>
                <c:pt idx="15">
                  <c:v> </c:v>
                </c:pt>
                <c:pt idx="16">
                  <c:v> </c:v>
                </c:pt>
                <c:pt idx="17">
                  <c:v> </c:v>
                </c:pt>
                <c:pt idx="18">
                  <c:v> </c:v>
                </c:pt>
                <c:pt idx="19">
                  <c:v> </c:v>
                </c:pt>
                <c:pt idx="20">
                  <c:v> </c:v>
                </c:pt>
              </c:strCache>
            </c:strRef>
          </c:cat>
          <c:val>
            <c:numRef>
              <c:f>'II.Profit&amp;Loss+CashFlow'!$E$31:$Y$31</c:f>
              <c:numCache>
                <c:formatCode>"€"\ #,##0_ ;[Red]\ "€"\ \-#,##0_ ;\ * "-"??_ ;_ @_ </c:formatCode>
                <c:ptCount val="21"/>
                <c:pt idx="0">
                  <c:v>-500000</c:v>
                </c:pt>
                <c:pt idx="1">
                  <c:v>-884065.93406593404</c:v>
                </c:pt>
                <c:pt idx="2">
                  <c:v>-1205000</c:v>
                </c:pt>
                <c:pt idx="3">
                  <c:v>-986662.5</c:v>
                </c:pt>
                <c:pt idx="4">
                  <c:v>-323822.67499999993</c:v>
                </c:pt>
                <c:pt idx="5">
                  <c:v>568019.15435000032</c:v>
                </c:pt>
                <c:pt idx="6">
                  <c:v>1687691.5037133005</c:v>
                </c:pt>
                <c:pt idx="7">
                  <c:v>3105959.0519904094</c:v>
                </c:pt>
                <c:pt idx="8">
                  <c:v>4869273.9609874999</c:v>
                </c:pt>
                <c:pt idx="9">
                  <c:v>6767380.6070705522</c:v>
                </c:pt>
                <c:pt idx="10">
                  <c:v>8828872.9536174331</c:v>
                </c:pt>
                <c:pt idx="11">
                  <c:v>#N/A</c:v>
                </c:pt>
                <c:pt idx="12">
                  <c:v>#N/A</c:v>
                </c:pt>
                <c:pt idx="13">
                  <c:v>#N/A</c:v>
                </c:pt>
                <c:pt idx="14">
                  <c:v>#N/A</c:v>
                </c:pt>
                <c:pt idx="15">
                  <c:v>#N/A</c:v>
                </c:pt>
                <c:pt idx="16">
                  <c:v>#N/A</c:v>
                </c:pt>
                <c:pt idx="17">
                  <c:v>#N/A</c:v>
                </c:pt>
                <c:pt idx="18">
                  <c:v>#N/A</c:v>
                </c:pt>
                <c:pt idx="19">
                  <c:v>#N/A</c:v>
                </c:pt>
                <c:pt idx="20">
                  <c:v>#N/A</c:v>
                </c:pt>
              </c:numCache>
            </c:numRef>
          </c:val>
          <c:smooth val="0"/>
          <c:extLst>
            <c:ext xmlns:c16="http://schemas.microsoft.com/office/drawing/2014/chart" uri="{C3380CC4-5D6E-409C-BE32-E72D297353CC}">
              <c16:uniqueId val="{00000001-95FF-224B-A631-19FA9F45B6D4}"/>
            </c:ext>
          </c:extLst>
        </c:ser>
        <c:ser>
          <c:idx val="3"/>
          <c:order val="1"/>
          <c:tx>
            <c:strRef>
              <c:f>'II.Profit&amp;Loss+CashFlow'!$C$21:$C$22</c:f>
              <c:strCache>
                <c:ptCount val="1"/>
                <c:pt idx="0">
                  <c:v>Total Expenses</c:v>
                </c:pt>
              </c:strCache>
            </c:strRef>
          </c:tx>
          <c:marker>
            <c:symbol val="none"/>
          </c:marker>
          <c:cat>
            <c:strRef>
              <c:f>'II.Profit&amp;Loss+CashFlow'!$E$8:$Y$8</c:f>
              <c:strCache>
                <c:ptCount val="21"/>
                <c:pt idx="0">
                  <c:v>0 </c:v>
                </c:pt>
                <c:pt idx="1">
                  <c:v>1 </c:v>
                </c:pt>
                <c:pt idx="2">
                  <c:v>2 </c:v>
                </c:pt>
                <c:pt idx="3">
                  <c:v>3 </c:v>
                </c:pt>
                <c:pt idx="4">
                  <c:v>4 </c:v>
                </c:pt>
                <c:pt idx="5">
                  <c:v>5 </c:v>
                </c:pt>
                <c:pt idx="6">
                  <c:v>6 </c:v>
                </c:pt>
                <c:pt idx="7">
                  <c:v>7 </c:v>
                </c:pt>
                <c:pt idx="8">
                  <c:v>8 </c:v>
                </c:pt>
                <c:pt idx="9">
                  <c:v>9 </c:v>
                </c:pt>
                <c:pt idx="10">
                  <c:v>10 </c:v>
                </c:pt>
                <c:pt idx="11">
                  <c:v> </c:v>
                </c:pt>
                <c:pt idx="12">
                  <c:v> </c:v>
                </c:pt>
                <c:pt idx="13">
                  <c:v> </c:v>
                </c:pt>
                <c:pt idx="14">
                  <c:v> </c:v>
                </c:pt>
                <c:pt idx="15">
                  <c:v> </c:v>
                </c:pt>
                <c:pt idx="16">
                  <c:v> </c:v>
                </c:pt>
                <c:pt idx="17">
                  <c:v> </c:v>
                </c:pt>
                <c:pt idx="18">
                  <c:v> </c:v>
                </c:pt>
                <c:pt idx="19">
                  <c:v> </c:v>
                </c:pt>
                <c:pt idx="20">
                  <c:v> </c:v>
                </c:pt>
              </c:strCache>
            </c:strRef>
          </c:cat>
          <c:val>
            <c:numRef>
              <c:f>'II.Profit&amp;Loss+CashFlow'!$E$21:$Y$21</c:f>
              <c:numCache>
                <c:formatCode>"€"\ #,##0_ ;[Red]\ "€"\ \-#,##0_ ;\ * "-"??_ ;_ @_ </c:formatCode>
                <c:ptCount val="21"/>
                <c:pt idx="0">
                  <c:v>500000</c:v>
                </c:pt>
                <c:pt idx="1">
                  <c:v>384065.93406593404</c:v>
                </c:pt>
                <c:pt idx="2">
                  <c:v>565934.06593406596</c:v>
                </c:pt>
                <c:pt idx="3">
                  <c:v>956000</c:v>
                </c:pt>
                <c:pt idx="4">
                  <c:v>1804640</c:v>
                </c:pt>
                <c:pt idx="5">
                  <c:v>2037726.0799999998</c:v>
                </c:pt>
                <c:pt idx="6">
                  <c:v>2161675.1743999999</c:v>
                </c:pt>
                <c:pt idx="7">
                  <c:v>2466488.0706560002</c:v>
                </c:pt>
                <c:pt idx="8">
                  <c:v>2887789.8062336002</c:v>
                </c:pt>
                <c:pt idx="9">
                  <c:v>2666161.0421224446</c:v>
                </c:pt>
                <c:pt idx="10">
                  <c:v>2622051.5124847121</c:v>
                </c:pt>
                <c:pt idx="11">
                  <c:v>#N/A</c:v>
                </c:pt>
                <c:pt idx="12">
                  <c:v>#N/A</c:v>
                </c:pt>
                <c:pt idx="13">
                  <c:v>#N/A</c:v>
                </c:pt>
                <c:pt idx="14">
                  <c:v>#N/A</c:v>
                </c:pt>
                <c:pt idx="15">
                  <c:v>#N/A</c:v>
                </c:pt>
                <c:pt idx="16">
                  <c:v>#N/A</c:v>
                </c:pt>
                <c:pt idx="17">
                  <c:v>#N/A</c:v>
                </c:pt>
                <c:pt idx="18">
                  <c:v>#N/A</c:v>
                </c:pt>
                <c:pt idx="19">
                  <c:v>#N/A</c:v>
                </c:pt>
                <c:pt idx="20">
                  <c:v>#N/A</c:v>
                </c:pt>
              </c:numCache>
            </c:numRef>
          </c:val>
          <c:smooth val="0"/>
          <c:extLst>
            <c:ext xmlns:c16="http://schemas.microsoft.com/office/drawing/2014/chart" uri="{C3380CC4-5D6E-409C-BE32-E72D297353CC}">
              <c16:uniqueId val="{00000002-95FF-224B-A631-19FA9F45B6D4}"/>
            </c:ext>
          </c:extLst>
        </c:ser>
        <c:ser>
          <c:idx val="5"/>
          <c:order val="2"/>
          <c:tx>
            <c:strRef>
              <c:f>'II.Profit&amp;Loss+CashFlow'!$C$12</c:f>
              <c:strCache>
                <c:ptCount val="1"/>
                <c:pt idx="0">
                  <c:v>Total Revenue</c:v>
                </c:pt>
              </c:strCache>
            </c:strRef>
          </c:tx>
          <c:marker>
            <c:symbol val="none"/>
          </c:marker>
          <c:cat>
            <c:strRef>
              <c:f>'II.Profit&amp;Loss+CashFlow'!$E$8:$Y$8</c:f>
              <c:strCache>
                <c:ptCount val="21"/>
                <c:pt idx="0">
                  <c:v>0 </c:v>
                </c:pt>
                <c:pt idx="1">
                  <c:v>1 </c:v>
                </c:pt>
                <c:pt idx="2">
                  <c:v>2 </c:v>
                </c:pt>
                <c:pt idx="3">
                  <c:v>3 </c:v>
                </c:pt>
                <c:pt idx="4">
                  <c:v>4 </c:v>
                </c:pt>
                <c:pt idx="5">
                  <c:v>5 </c:v>
                </c:pt>
                <c:pt idx="6">
                  <c:v>6 </c:v>
                </c:pt>
                <c:pt idx="7">
                  <c:v>7 </c:v>
                </c:pt>
                <c:pt idx="8">
                  <c:v>8 </c:v>
                </c:pt>
                <c:pt idx="9">
                  <c:v>9 </c:v>
                </c:pt>
                <c:pt idx="10">
                  <c:v>10 </c:v>
                </c:pt>
                <c:pt idx="11">
                  <c:v> </c:v>
                </c:pt>
                <c:pt idx="12">
                  <c:v> </c:v>
                </c:pt>
                <c:pt idx="13">
                  <c:v> </c:v>
                </c:pt>
                <c:pt idx="14">
                  <c:v> </c:v>
                </c:pt>
                <c:pt idx="15">
                  <c:v> </c:v>
                </c:pt>
                <c:pt idx="16">
                  <c:v> </c:v>
                </c:pt>
                <c:pt idx="17">
                  <c:v> </c:v>
                </c:pt>
                <c:pt idx="18">
                  <c:v> </c:v>
                </c:pt>
                <c:pt idx="19">
                  <c:v> </c:v>
                </c:pt>
                <c:pt idx="20">
                  <c:v> </c:v>
                </c:pt>
              </c:strCache>
            </c:strRef>
          </c:cat>
          <c:val>
            <c:numRef>
              <c:f>'II.Profit&amp;Loss+CashFlow'!$E$12:$Y$12</c:f>
              <c:numCache>
                <c:formatCode>"€"\ #,##0_ ;[Red]\ "€"\ \-#,##0_ ;\ * "-"??_ ;_ @_ </c:formatCode>
                <c:ptCount val="21"/>
                <c:pt idx="0">
                  <c:v>0</c:v>
                </c:pt>
                <c:pt idx="1">
                  <c:v>0</c:v>
                </c:pt>
                <c:pt idx="2">
                  <c:v>245000</c:v>
                </c:pt>
                <c:pt idx="3">
                  <c:v>1272450</c:v>
                </c:pt>
                <c:pt idx="4">
                  <c:v>2687093.1</c:v>
                </c:pt>
                <c:pt idx="5">
                  <c:v>3225515.1858000001</c:v>
                </c:pt>
                <c:pt idx="6">
                  <c:v>3653238.3068844001</c:v>
                </c:pt>
                <c:pt idx="7">
                  <c:v>4356178.1350254789</c:v>
                </c:pt>
                <c:pt idx="8">
                  <c:v>5238876.3515630541</c:v>
                </c:pt>
                <c:pt idx="9">
                  <c:v>5196969.9035665141</c:v>
                </c:pt>
                <c:pt idx="10">
                  <c:v>5370707.9745472204</c:v>
                </c:pt>
                <c:pt idx="11">
                  <c:v>#N/A</c:v>
                </c:pt>
                <c:pt idx="12">
                  <c:v>#N/A</c:v>
                </c:pt>
                <c:pt idx="13">
                  <c:v>#N/A</c:v>
                </c:pt>
                <c:pt idx="14">
                  <c:v>#N/A</c:v>
                </c:pt>
                <c:pt idx="15">
                  <c:v>#N/A</c:v>
                </c:pt>
                <c:pt idx="16">
                  <c:v>#N/A</c:v>
                </c:pt>
                <c:pt idx="17">
                  <c:v>#N/A</c:v>
                </c:pt>
                <c:pt idx="18">
                  <c:v>#N/A</c:v>
                </c:pt>
                <c:pt idx="19">
                  <c:v>#N/A</c:v>
                </c:pt>
                <c:pt idx="20">
                  <c:v>#N/A</c:v>
                </c:pt>
              </c:numCache>
            </c:numRef>
          </c:val>
          <c:smooth val="0"/>
          <c:extLst>
            <c:ext xmlns:c16="http://schemas.microsoft.com/office/drawing/2014/chart" uri="{C3380CC4-5D6E-409C-BE32-E72D297353CC}">
              <c16:uniqueId val="{00000003-95FF-224B-A631-19FA9F45B6D4}"/>
            </c:ext>
          </c:extLst>
        </c:ser>
        <c:ser>
          <c:idx val="1"/>
          <c:order val="4"/>
          <c:tx>
            <c:strRef>
              <c:f>'II.Profit&amp;Loss+CashFlow'!$C$33:$C$34</c:f>
              <c:strCache>
                <c:ptCount val="1"/>
                <c:pt idx="0">
                  <c:v>Discounted Cash Flow (DCF)</c:v>
                </c:pt>
              </c:strCache>
            </c:strRef>
          </c:tx>
          <c:marker>
            <c:symbol val="none"/>
          </c:marker>
          <c:cat>
            <c:strRef>
              <c:f>'II.Profit&amp;Loss+CashFlow'!$E$8:$Y$8</c:f>
              <c:strCache>
                <c:ptCount val="21"/>
                <c:pt idx="0">
                  <c:v>0 </c:v>
                </c:pt>
                <c:pt idx="1">
                  <c:v>1 </c:v>
                </c:pt>
                <c:pt idx="2">
                  <c:v>2 </c:v>
                </c:pt>
                <c:pt idx="3">
                  <c:v>3 </c:v>
                </c:pt>
                <c:pt idx="4">
                  <c:v>4 </c:v>
                </c:pt>
                <c:pt idx="5">
                  <c:v>5 </c:v>
                </c:pt>
                <c:pt idx="6">
                  <c:v>6 </c:v>
                </c:pt>
                <c:pt idx="7">
                  <c:v>7 </c:v>
                </c:pt>
                <c:pt idx="8">
                  <c:v>8 </c:v>
                </c:pt>
                <c:pt idx="9">
                  <c:v>9 </c:v>
                </c:pt>
                <c:pt idx="10">
                  <c:v>10 </c:v>
                </c:pt>
                <c:pt idx="11">
                  <c:v> </c:v>
                </c:pt>
                <c:pt idx="12">
                  <c:v> </c:v>
                </c:pt>
                <c:pt idx="13">
                  <c:v> </c:v>
                </c:pt>
                <c:pt idx="14">
                  <c:v> </c:v>
                </c:pt>
                <c:pt idx="15">
                  <c:v> </c:v>
                </c:pt>
                <c:pt idx="16">
                  <c:v> </c:v>
                </c:pt>
                <c:pt idx="17">
                  <c:v> </c:v>
                </c:pt>
                <c:pt idx="18">
                  <c:v> </c:v>
                </c:pt>
                <c:pt idx="19">
                  <c:v> </c:v>
                </c:pt>
                <c:pt idx="20">
                  <c:v> </c:v>
                </c:pt>
              </c:strCache>
            </c:strRef>
          </c:cat>
          <c:val>
            <c:numRef>
              <c:f>'II.Profit&amp;Loss+CashFlow'!$E$33:$Y$33</c:f>
              <c:numCache>
                <c:formatCode>"€"\ #,##0_ ;[Red]\ "€"\ \-#,##0_ ;\ * "-"??_ ;_ @_ </c:formatCode>
                <c:ptCount val="21"/>
                <c:pt idx="0">
                  <c:v>-500000</c:v>
                </c:pt>
                <c:pt idx="1">
                  <c:v>-349150.8491508491</c:v>
                </c:pt>
                <c:pt idx="2">
                  <c:v>-265234.76523476519</c:v>
                </c:pt>
                <c:pt idx="3">
                  <c:v>164040.19534184819</c:v>
                </c:pt>
                <c:pt idx="4">
                  <c:v>452728.51922682871</c:v>
                </c:pt>
                <c:pt idx="5">
                  <c:v>553763.60863949929</c:v>
                </c:pt>
                <c:pt idx="6">
                  <c:v>632025.85141764779</c:v>
                </c:pt>
                <c:pt idx="7">
                  <c:v>727795.50622155878</c:v>
                </c:pt>
                <c:pt idx="8">
                  <c:v>822599.41868099675</c:v>
                </c:pt>
                <c:pt idx="9">
                  <c:v>804982.50802080706</c:v>
                </c:pt>
                <c:pt idx="10">
                  <c:v>794794.54042148823</c:v>
                </c:pt>
                <c:pt idx="11">
                  <c:v>#N/A</c:v>
                </c:pt>
                <c:pt idx="12">
                  <c:v>#N/A</c:v>
                </c:pt>
                <c:pt idx="13">
                  <c:v>#N/A</c:v>
                </c:pt>
                <c:pt idx="14">
                  <c:v>#N/A</c:v>
                </c:pt>
                <c:pt idx="15">
                  <c:v>#N/A</c:v>
                </c:pt>
                <c:pt idx="16">
                  <c:v>#N/A</c:v>
                </c:pt>
                <c:pt idx="17">
                  <c:v>#N/A</c:v>
                </c:pt>
                <c:pt idx="18">
                  <c:v>#N/A</c:v>
                </c:pt>
                <c:pt idx="19">
                  <c:v>#N/A</c:v>
                </c:pt>
                <c:pt idx="20">
                  <c:v>#N/A</c:v>
                </c:pt>
              </c:numCache>
            </c:numRef>
          </c:val>
          <c:smooth val="0"/>
          <c:extLst>
            <c:ext xmlns:c16="http://schemas.microsoft.com/office/drawing/2014/chart" uri="{C3380CC4-5D6E-409C-BE32-E72D297353CC}">
              <c16:uniqueId val="{00000004-95FF-224B-A631-19FA9F45B6D4}"/>
            </c:ext>
          </c:extLst>
        </c:ser>
        <c:dLbls>
          <c:showLegendKey val="0"/>
          <c:showVal val="0"/>
          <c:showCatName val="0"/>
          <c:showSerName val="0"/>
          <c:showPercent val="0"/>
          <c:showBubbleSize val="0"/>
        </c:dLbls>
        <c:marker val="1"/>
        <c:smooth val="0"/>
        <c:axId val="1870850368"/>
        <c:axId val="1"/>
      </c:lineChart>
      <c:catAx>
        <c:axId val="1870850368"/>
        <c:scaling>
          <c:orientation val="minMax"/>
        </c:scaling>
        <c:delete val="0"/>
        <c:axPos val="b"/>
        <c:numFmt formatCode="General" sourceLinked="1"/>
        <c:majorTickMark val="out"/>
        <c:minorTickMark val="none"/>
        <c:tickLblPos val="nextTo"/>
        <c:spPr>
          <a:ln>
            <a:solidFill>
              <a:schemeClr val="bg1">
                <a:lumMod val="75000"/>
              </a:schemeClr>
            </a:solidFill>
          </a:ln>
        </c:spPr>
        <c:crossAx val="1"/>
        <c:crosses val="autoZero"/>
        <c:auto val="1"/>
        <c:lblAlgn val="ctr"/>
        <c:lblOffset val="100"/>
        <c:tickLblSkip val="1"/>
        <c:noMultiLvlLbl val="0"/>
      </c:catAx>
      <c:valAx>
        <c:axId val="1"/>
        <c:scaling>
          <c:orientation val="minMax"/>
        </c:scaling>
        <c:delete val="0"/>
        <c:axPos val="l"/>
        <c:majorGridlines>
          <c:spPr>
            <a:ln>
              <a:solidFill>
                <a:schemeClr val="bg1">
                  <a:lumMod val="75000"/>
                </a:schemeClr>
              </a:solidFill>
            </a:ln>
          </c:spPr>
        </c:majorGridlines>
        <c:numFmt formatCode="#,##0_ ;[Red]\-#,##0\ " sourceLinked="0"/>
        <c:majorTickMark val="out"/>
        <c:minorTickMark val="none"/>
        <c:tickLblPos val="nextTo"/>
        <c:spPr>
          <a:ln>
            <a:solidFill>
              <a:schemeClr val="bg1">
                <a:lumMod val="75000"/>
              </a:schemeClr>
            </a:solidFill>
          </a:ln>
        </c:spPr>
        <c:crossAx val="1870850368"/>
        <c:crosses val="autoZero"/>
        <c:crossBetween val="between"/>
      </c:valAx>
    </c:plotArea>
    <c:legend>
      <c:legendPos val="t"/>
      <c:layout>
        <c:manualLayout>
          <c:xMode val="edge"/>
          <c:yMode val="edge"/>
          <c:x val="0.10403779527559055"/>
          <c:y val="0.76073897012873393"/>
          <c:w val="0.56681561679790027"/>
          <c:h val="0.17741251093613297"/>
        </c:manualLayout>
      </c:layout>
      <c:overlay val="0"/>
    </c:legend>
    <c:plotVisOnly val="1"/>
    <c:dispBlanksAs val="gap"/>
    <c:showDLblsOverMax val="0"/>
  </c:chart>
  <c:spPr>
    <a:noFill/>
    <a:ln>
      <a:solidFill>
        <a:schemeClr val="bg1">
          <a:lumMod val="75000"/>
        </a:schemeClr>
      </a:solid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8106814974992"/>
          <c:y val="2.1723586132356799E-2"/>
          <c:w val="0.87738831149631247"/>
          <c:h val="0.71191379691996337"/>
        </c:manualLayout>
      </c:layout>
      <c:barChart>
        <c:barDir val="col"/>
        <c:grouping val="clustered"/>
        <c:varyColors val="0"/>
        <c:ser>
          <c:idx val="6"/>
          <c:order val="3"/>
          <c:tx>
            <c:strRef>
              <c:f>'II.Profit&amp;Loss+CashFlow'!$C$29:$C$30</c:f>
              <c:strCache>
                <c:ptCount val="1"/>
                <c:pt idx="0">
                  <c:v>Free Cash Flow (FCF)</c:v>
                </c:pt>
              </c:strCache>
            </c:strRef>
          </c:tx>
          <c:invertIfNegative val="0"/>
          <c:cat>
            <c:strRef>
              <c:f>'II.Profit&amp;Loss+CashFlow'!$E$8:$Y$8</c:f>
              <c:strCache>
                <c:ptCount val="21"/>
                <c:pt idx="0">
                  <c:v>0 </c:v>
                </c:pt>
                <c:pt idx="1">
                  <c:v>1 </c:v>
                </c:pt>
                <c:pt idx="2">
                  <c:v>2 </c:v>
                </c:pt>
                <c:pt idx="3">
                  <c:v>3 </c:v>
                </c:pt>
                <c:pt idx="4">
                  <c:v>4 </c:v>
                </c:pt>
                <c:pt idx="5">
                  <c:v>5 </c:v>
                </c:pt>
                <c:pt idx="6">
                  <c:v>6 </c:v>
                </c:pt>
                <c:pt idx="7">
                  <c:v>7 </c:v>
                </c:pt>
                <c:pt idx="8">
                  <c:v>8 </c:v>
                </c:pt>
                <c:pt idx="9">
                  <c:v>9 </c:v>
                </c:pt>
                <c:pt idx="10">
                  <c:v>10 </c:v>
                </c:pt>
                <c:pt idx="11">
                  <c:v> </c:v>
                </c:pt>
                <c:pt idx="12">
                  <c:v> </c:v>
                </c:pt>
                <c:pt idx="13">
                  <c:v> </c:v>
                </c:pt>
                <c:pt idx="14">
                  <c:v> </c:v>
                </c:pt>
                <c:pt idx="15">
                  <c:v> </c:v>
                </c:pt>
                <c:pt idx="16">
                  <c:v> </c:v>
                </c:pt>
                <c:pt idx="17">
                  <c:v> </c:v>
                </c:pt>
                <c:pt idx="18">
                  <c:v> </c:v>
                </c:pt>
                <c:pt idx="19">
                  <c:v> </c:v>
                </c:pt>
                <c:pt idx="20">
                  <c:v> </c:v>
                </c:pt>
              </c:strCache>
            </c:strRef>
          </c:cat>
          <c:val>
            <c:numRef>
              <c:f>'II.Profit&amp;Loss+CashFlow'!$E$30:$Y$30</c:f>
              <c:numCache>
                <c:formatCode>"€"\ #,##0_ ;[Red]\ "€"\ \-#,##0_ ;\ * "-"??_ ;_ @_ </c:formatCode>
                <c:ptCount val="21"/>
                <c:pt idx="0">
                  <c:v>-500000</c:v>
                </c:pt>
                <c:pt idx="1">
                  <c:v>-1268131.8681318681</c:v>
                </c:pt>
                <c:pt idx="2">
                  <c:v>-586868.13186813192</c:v>
                </c:pt>
                <c:pt idx="3">
                  <c:v>218337.5</c:v>
                </c:pt>
                <c:pt idx="4">
                  <c:v>662839.82500000007</c:v>
                </c:pt>
                <c:pt idx="5">
                  <c:v>891841.82935000025</c:v>
                </c:pt>
                <c:pt idx="6">
                  <c:v>1119672.3493633</c:v>
                </c:pt>
                <c:pt idx="7">
                  <c:v>1418267.5482771089</c:v>
                </c:pt>
                <c:pt idx="8">
                  <c:v>1763314.9089970905</c:v>
                </c:pt>
                <c:pt idx="9">
                  <c:v>1898106.6460830523</c:v>
                </c:pt>
                <c:pt idx="10">
                  <c:v>2061492.3465468814</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D774-FA49-B6C2-2572FB9F0D37}"/>
            </c:ext>
          </c:extLst>
        </c:ser>
        <c:dLbls>
          <c:showLegendKey val="0"/>
          <c:showVal val="0"/>
          <c:showCatName val="0"/>
          <c:showSerName val="0"/>
          <c:showPercent val="0"/>
          <c:showBubbleSize val="0"/>
        </c:dLbls>
        <c:gapWidth val="150"/>
        <c:axId val="1870935696"/>
        <c:axId val="1"/>
      </c:barChart>
      <c:lineChart>
        <c:grouping val="standard"/>
        <c:varyColors val="0"/>
        <c:ser>
          <c:idx val="0"/>
          <c:order val="0"/>
          <c:tx>
            <c:strRef>
              <c:f>'II.Profit&amp;Loss+CashFlow'!$C$31:$C$32</c:f>
              <c:strCache>
                <c:ptCount val="1"/>
                <c:pt idx="0">
                  <c:v>Cumulative Cash Flow (CCF)</c:v>
                </c:pt>
              </c:strCache>
            </c:strRef>
          </c:tx>
          <c:marker>
            <c:symbol val="none"/>
          </c:marker>
          <c:cat>
            <c:strRef>
              <c:f>'II.Profit&amp;Loss+CashFlow'!$E$8:$Y$8</c:f>
              <c:strCache>
                <c:ptCount val="21"/>
                <c:pt idx="0">
                  <c:v>0 </c:v>
                </c:pt>
                <c:pt idx="1">
                  <c:v>1 </c:v>
                </c:pt>
                <c:pt idx="2">
                  <c:v>2 </c:v>
                </c:pt>
                <c:pt idx="3">
                  <c:v>3 </c:v>
                </c:pt>
                <c:pt idx="4">
                  <c:v>4 </c:v>
                </c:pt>
                <c:pt idx="5">
                  <c:v>5 </c:v>
                </c:pt>
                <c:pt idx="6">
                  <c:v>6 </c:v>
                </c:pt>
                <c:pt idx="7">
                  <c:v>7 </c:v>
                </c:pt>
                <c:pt idx="8">
                  <c:v>8 </c:v>
                </c:pt>
                <c:pt idx="9">
                  <c:v>9 </c:v>
                </c:pt>
                <c:pt idx="10">
                  <c:v>10 </c:v>
                </c:pt>
                <c:pt idx="11">
                  <c:v> </c:v>
                </c:pt>
                <c:pt idx="12">
                  <c:v> </c:v>
                </c:pt>
                <c:pt idx="13">
                  <c:v> </c:v>
                </c:pt>
                <c:pt idx="14">
                  <c:v> </c:v>
                </c:pt>
                <c:pt idx="15">
                  <c:v> </c:v>
                </c:pt>
                <c:pt idx="16">
                  <c:v> </c:v>
                </c:pt>
                <c:pt idx="17">
                  <c:v> </c:v>
                </c:pt>
                <c:pt idx="18">
                  <c:v> </c:v>
                </c:pt>
                <c:pt idx="19">
                  <c:v> </c:v>
                </c:pt>
                <c:pt idx="20">
                  <c:v> </c:v>
                </c:pt>
              </c:strCache>
            </c:strRef>
          </c:cat>
          <c:val>
            <c:numRef>
              <c:f>'II.Profit&amp;Loss+CashFlow'!$E$32:$Y$32</c:f>
              <c:numCache>
                <c:formatCode>"€"\ #,##0_ ;[Red]\ "€"\ \-#,##0_ ;\ * "-"??_ ;_ @_ </c:formatCode>
                <c:ptCount val="21"/>
                <c:pt idx="0">
                  <c:v>-500000</c:v>
                </c:pt>
                <c:pt idx="1">
                  <c:v>-1768131.8681318681</c:v>
                </c:pt>
                <c:pt idx="2">
                  <c:v>-2355000</c:v>
                </c:pt>
                <c:pt idx="3">
                  <c:v>-2136662.5</c:v>
                </c:pt>
                <c:pt idx="4">
                  <c:v>-1473822.6749999998</c:v>
                </c:pt>
                <c:pt idx="5">
                  <c:v>-581980.84564999957</c:v>
                </c:pt>
                <c:pt idx="6">
                  <c:v>537691.50371330045</c:v>
                </c:pt>
                <c:pt idx="7">
                  <c:v>1955959.0519904094</c:v>
                </c:pt>
                <c:pt idx="8">
                  <c:v>3719273.9609874999</c:v>
                </c:pt>
                <c:pt idx="9">
                  <c:v>5617380.6070705522</c:v>
                </c:pt>
                <c:pt idx="10">
                  <c:v>7678872.9536174331</c:v>
                </c:pt>
                <c:pt idx="11">
                  <c:v>#N/A</c:v>
                </c:pt>
                <c:pt idx="12">
                  <c:v>#N/A</c:v>
                </c:pt>
                <c:pt idx="13">
                  <c:v>#N/A</c:v>
                </c:pt>
                <c:pt idx="14">
                  <c:v>#N/A</c:v>
                </c:pt>
                <c:pt idx="15">
                  <c:v>#N/A</c:v>
                </c:pt>
                <c:pt idx="16">
                  <c:v>#N/A</c:v>
                </c:pt>
                <c:pt idx="17">
                  <c:v>#N/A</c:v>
                </c:pt>
                <c:pt idx="18">
                  <c:v>#N/A</c:v>
                </c:pt>
                <c:pt idx="19">
                  <c:v>#N/A</c:v>
                </c:pt>
                <c:pt idx="20">
                  <c:v>#N/A</c:v>
                </c:pt>
              </c:numCache>
            </c:numRef>
          </c:val>
          <c:smooth val="0"/>
          <c:extLst>
            <c:ext xmlns:c16="http://schemas.microsoft.com/office/drawing/2014/chart" uri="{C3380CC4-5D6E-409C-BE32-E72D297353CC}">
              <c16:uniqueId val="{00000001-D774-FA49-B6C2-2572FB9F0D37}"/>
            </c:ext>
          </c:extLst>
        </c:ser>
        <c:ser>
          <c:idx val="3"/>
          <c:order val="1"/>
          <c:tx>
            <c:strRef>
              <c:f>'II.Profit&amp;Loss+CashFlow'!$C$21:$C$22</c:f>
              <c:strCache>
                <c:ptCount val="1"/>
                <c:pt idx="0">
                  <c:v>Total Expenses</c:v>
                </c:pt>
              </c:strCache>
            </c:strRef>
          </c:tx>
          <c:marker>
            <c:symbol val="none"/>
          </c:marker>
          <c:cat>
            <c:strRef>
              <c:f>'II.Profit&amp;Loss+CashFlow'!$E$8:$Y$8</c:f>
              <c:strCache>
                <c:ptCount val="21"/>
                <c:pt idx="0">
                  <c:v>0 </c:v>
                </c:pt>
                <c:pt idx="1">
                  <c:v>1 </c:v>
                </c:pt>
                <c:pt idx="2">
                  <c:v>2 </c:v>
                </c:pt>
                <c:pt idx="3">
                  <c:v>3 </c:v>
                </c:pt>
                <c:pt idx="4">
                  <c:v>4 </c:v>
                </c:pt>
                <c:pt idx="5">
                  <c:v>5 </c:v>
                </c:pt>
                <c:pt idx="6">
                  <c:v>6 </c:v>
                </c:pt>
                <c:pt idx="7">
                  <c:v>7 </c:v>
                </c:pt>
                <c:pt idx="8">
                  <c:v>8 </c:v>
                </c:pt>
                <c:pt idx="9">
                  <c:v>9 </c:v>
                </c:pt>
                <c:pt idx="10">
                  <c:v>10 </c:v>
                </c:pt>
                <c:pt idx="11">
                  <c:v> </c:v>
                </c:pt>
                <c:pt idx="12">
                  <c:v> </c:v>
                </c:pt>
                <c:pt idx="13">
                  <c:v> </c:v>
                </c:pt>
                <c:pt idx="14">
                  <c:v> </c:v>
                </c:pt>
                <c:pt idx="15">
                  <c:v> </c:v>
                </c:pt>
                <c:pt idx="16">
                  <c:v> </c:v>
                </c:pt>
                <c:pt idx="17">
                  <c:v> </c:v>
                </c:pt>
                <c:pt idx="18">
                  <c:v> </c:v>
                </c:pt>
                <c:pt idx="19">
                  <c:v> </c:v>
                </c:pt>
                <c:pt idx="20">
                  <c:v> </c:v>
                </c:pt>
              </c:strCache>
            </c:strRef>
          </c:cat>
          <c:val>
            <c:numRef>
              <c:f>'II.Profit&amp;Loss+CashFlow'!$E$22:$Y$22</c:f>
              <c:numCache>
                <c:formatCode>"€"\ #,##0_ ;[Red]\ "€"\ \-#,##0_ ;\ * "-"??_ ;_ @_ </c:formatCode>
                <c:ptCount val="21"/>
                <c:pt idx="0">
                  <c:v>500000</c:v>
                </c:pt>
                <c:pt idx="1">
                  <c:v>1268131.8681318681</c:v>
                </c:pt>
                <c:pt idx="2">
                  <c:v>831868.13186813192</c:v>
                </c:pt>
                <c:pt idx="3">
                  <c:v>956000</c:v>
                </c:pt>
                <c:pt idx="4">
                  <c:v>1804640</c:v>
                </c:pt>
                <c:pt idx="5">
                  <c:v>2037726.0799999998</c:v>
                </c:pt>
                <c:pt idx="6">
                  <c:v>2161675.1743999999</c:v>
                </c:pt>
                <c:pt idx="7">
                  <c:v>2466488.0706560002</c:v>
                </c:pt>
                <c:pt idx="8">
                  <c:v>2887789.8062336002</c:v>
                </c:pt>
                <c:pt idx="9">
                  <c:v>2666161.0421224446</c:v>
                </c:pt>
                <c:pt idx="10">
                  <c:v>2622051.5124847121</c:v>
                </c:pt>
                <c:pt idx="11">
                  <c:v>#N/A</c:v>
                </c:pt>
                <c:pt idx="12">
                  <c:v>#N/A</c:v>
                </c:pt>
                <c:pt idx="13">
                  <c:v>#N/A</c:v>
                </c:pt>
                <c:pt idx="14">
                  <c:v>#N/A</c:v>
                </c:pt>
                <c:pt idx="15">
                  <c:v>#N/A</c:v>
                </c:pt>
                <c:pt idx="16">
                  <c:v>#N/A</c:v>
                </c:pt>
                <c:pt idx="17">
                  <c:v>#N/A</c:v>
                </c:pt>
                <c:pt idx="18">
                  <c:v>#N/A</c:v>
                </c:pt>
                <c:pt idx="19">
                  <c:v>#N/A</c:v>
                </c:pt>
                <c:pt idx="20">
                  <c:v>#N/A</c:v>
                </c:pt>
              </c:numCache>
            </c:numRef>
          </c:val>
          <c:smooth val="0"/>
          <c:extLst>
            <c:ext xmlns:c16="http://schemas.microsoft.com/office/drawing/2014/chart" uri="{C3380CC4-5D6E-409C-BE32-E72D297353CC}">
              <c16:uniqueId val="{00000002-D774-FA49-B6C2-2572FB9F0D37}"/>
            </c:ext>
          </c:extLst>
        </c:ser>
        <c:ser>
          <c:idx val="5"/>
          <c:order val="2"/>
          <c:tx>
            <c:strRef>
              <c:f>'II.Profit&amp;Loss+CashFlow'!$C$12</c:f>
              <c:strCache>
                <c:ptCount val="1"/>
                <c:pt idx="0">
                  <c:v>Total Revenue</c:v>
                </c:pt>
              </c:strCache>
            </c:strRef>
          </c:tx>
          <c:marker>
            <c:symbol val="none"/>
          </c:marker>
          <c:cat>
            <c:strRef>
              <c:f>'II.Profit&amp;Loss+CashFlow'!$E$8:$Y$8</c:f>
              <c:strCache>
                <c:ptCount val="21"/>
                <c:pt idx="0">
                  <c:v>0 </c:v>
                </c:pt>
                <c:pt idx="1">
                  <c:v>1 </c:v>
                </c:pt>
                <c:pt idx="2">
                  <c:v>2 </c:v>
                </c:pt>
                <c:pt idx="3">
                  <c:v>3 </c:v>
                </c:pt>
                <c:pt idx="4">
                  <c:v>4 </c:v>
                </c:pt>
                <c:pt idx="5">
                  <c:v>5 </c:v>
                </c:pt>
                <c:pt idx="6">
                  <c:v>6 </c:v>
                </c:pt>
                <c:pt idx="7">
                  <c:v>7 </c:v>
                </c:pt>
                <c:pt idx="8">
                  <c:v>8 </c:v>
                </c:pt>
                <c:pt idx="9">
                  <c:v>9 </c:v>
                </c:pt>
                <c:pt idx="10">
                  <c:v>10 </c:v>
                </c:pt>
                <c:pt idx="11">
                  <c:v> </c:v>
                </c:pt>
                <c:pt idx="12">
                  <c:v> </c:v>
                </c:pt>
                <c:pt idx="13">
                  <c:v> </c:v>
                </c:pt>
                <c:pt idx="14">
                  <c:v> </c:v>
                </c:pt>
                <c:pt idx="15">
                  <c:v> </c:v>
                </c:pt>
                <c:pt idx="16">
                  <c:v> </c:v>
                </c:pt>
                <c:pt idx="17">
                  <c:v> </c:v>
                </c:pt>
                <c:pt idx="18">
                  <c:v> </c:v>
                </c:pt>
                <c:pt idx="19">
                  <c:v> </c:v>
                </c:pt>
                <c:pt idx="20">
                  <c:v> </c:v>
                </c:pt>
              </c:strCache>
            </c:strRef>
          </c:cat>
          <c:val>
            <c:numRef>
              <c:f>'II.Profit&amp;Loss+CashFlow'!$E$12:$Y$12</c:f>
              <c:numCache>
                <c:formatCode>"€"\ #,##0_ ;[Red]\ "€"\ \-#,##0_ ;\ * "-"??_ ;_ @_ </c:formatCode>
                <c:ptCount val="21"/>
                <c:pt idx="0">
                  <c:v>0</c:v>
                </c:pt>
                <c:pt idx="1">
                  <c:v>0</c:v>
                </c:pt>
                <c:pt idx="2">
                  <c:v>245000</c:v>
                </c:pt>
                <c:pt idx="3">
                  <c:v>1272450</c:v>
                </c:pt>
                <c:pt idx="4">
                  <c:v>2687093.1</c:v>
                </c:pt>
                <c:pt idx="5">
                  <c:v>3225515.1858000001</c:v>
                </c:pt>
                <c:pt idx="6">
                  <c:v>3653238.3068844001</c:v>
                </c:pt>
                <c:pt idx="7">
                  <c:v>4356178.1350254789</c:v>
                </c:pt>
                <c:pt idx="8">
                  <c:v>5238876.3515630541</c:v>
                </c:pt>
                <c:pt idx="9">
                  <c:v>5196969.9035665141</c:v>
                </c:pt>
                <c:pt idx="10">
                  <c:v>5370707.9745472204</c:v>
                </c:pt>
                <c:pt idx="11">
                  <c:v>#N/A</c:v>
                </c:pt>
                <c:pt idx="12">
                  <c:v>#N/A</c:v>
                </c:pt>
                <c:pt idx="13">
                  <c:v>#N/A</c:v>
                </c:pt>
                <c:pt idx="14">
                  <c:v>#N/A</c:v>
                </c:pt>
                <c:pt idx="15">
                  <c:v>#N/A</c:v>
                </c:pt>
                <c:pt idx="16">
                  <c:v>#N/A</c:v>
                </c:pt>
                <c:pt idx="17">
                  <c:v>#N/A</c:v>
                </c:pt>
                <c:pt idx="18">
                  <c:v>#N/A</c:v>
                </c:pt>
                <c:pt idx="19">
                  <c:v>#N/A</c:v>
                </c:pt>
                <c:pt idx="20">
                  <c:v>#N/A</c:v>
                </c:pt>
              </c:numCache>
            </c:numRef>
          </c:val>
          <c:smooth val="0"/>
          <c:extLst>
            <c:ext xmlns:c16="http://schemas.microsoft.com/office/drawing/2014/chart" uri="{C3380CC4-5D6E-409C-BE32-E72D297353CC}">
              <c16:uniqueId val="{00000003-D774-FA49-B6C2-2572FB9F0D37}"/>
            </c:ext>
          </c:extLst>
        </c:ser>
        <c:ser>
          <c:idx val="1"/>
          <c:order val="4"/>
          <c:tx>
            <c:strRef>
              <c:f>'II.Profit&amp;Loss+CashFlow'!$C$33:$C$34</c:f>
              <c:strCache>
                <c:ptCount val="1"/>
                <c:pt idx="0">
                  <c:v>Discounted Cash Flow (DCF)</c:v>
                </c:pt>
              </c:strCache>
            </c:strRef>
          </c:tx>
          <c:marker>
            <c:symbol val="none"/>
          </c:marker>
          <c:cat>
            <c:strRef>
              <c:f>'II.Profit&amp;Loss+CashFlow'!$E$8:$Y$8</c:f>
              <c:strCache>
                <c:ptCount val="21"/>
                <c:pt idx="0">
                  <c:v>0 </c:v>
                </c:pt>
                <c:pt idx="1">
                  <c:v>1 </c:v>
                </c:pt>
                <c:pt idx="2">
                  <c:v>2 </c:v>
                </c:pt>
                <c:pt idx="3">
                  <c:v>3 </c:v>
                </c:pt>
                <c:pt idx="4">
                  <c:v>4 </c:v>
                </c:pt>
                <c:pt idx="5">
                  <c:v>5 </c:v>
                </c:pt>
                <c:pt idx="6">
                  <c:v>6 </c:v>
                </c:pt>
                <c:pt idx="7">
                  <c:v>7 </c:v>
                </c:pt>
                <c:pt idx="8">
                  <c:v>8 </c:v>
                </c:pt>
                <c:pt idx="9">
                  <c:v>9 </c:v>
                </c:pt>
                <c:pt idx="10">
                  <c:v>10 </c:v>
                </c:pt>
                <c:pt idx="11">
                  <c:v> </c:v>
                </c:pt>
                <c:pt idx="12">
                  <c:v> </c:v>
                </c:pt>
                <c:pt idx="13">
                  <c:v> </c:v>
                </c:pt>
                <c:pt idx="14">
                  <c:v> </c:v>
                </c:pt>
                <c:pt idx="15">
                  <c:v> </c:v>
                </c:pt>
                <c:pt idx="16">
                  <c:v> </c:v>
                </c:pt>
                <c:pt idx="17">
                  <c:v> </c:v>
                </c:pt>
                <c:pt idx="18">
                  <c:v> </c:v>
                </c:pt>
                <c:pt idx="19">
                  <c:v> </c:v>
                </c:pt>
                <c:pt idx="20">
                  <c:v> </c:v>
                </c:pt>
              </c:strCache>
            </c:strRef>
          </c:cat>
          <c:val>
            <c:numRef>
              <c:f>'II.Profit&amp;Loss+CashFlow'!$E$34:$Y$34</c:f>
              <c:numCache>
                <c:formatCode>"€"\ #,##0_ ;[Red]\ "€"\ \-#,##0_ ;\ * "-"??_ ;_ @_ </c:formatCode>
                <c:ptCount val="21"/>
                <c:pt idx="0">
                  <c:v>-500000</c:v>
                </c:pt>
                <c:pt idx="1">
                  <c:v>-1152847.1528471527</c:v>
                </c:pt>
                <c:pt idx="2">
                  <c:v>-485014.98501498497</c:v>
                </c:pt>
                <c:pt idx="3">
                  <c:v>164040.19534184819</c:v>
                </c:pt>
                <c:pt idx="4">
                  <c:v>452728.51922682871</c:v>
                </c:pt>
                <c:pt idx="5">
                  <c:v>553763.60863949929</c:v>
                </c:pt>
                <c:pt idx="6">
                  <c:v>632025.85141764779</c:v>
                </c:pt>
                <c:pt idx="7">
                  <c:v>727795.50622155878</c:v>
                </c:pt>
                <c:pt idx="8">
                  <c:v>822599.41868099675</c:v>
                </c:pt>
                <c:pt idx="9">
                  <c:v>804982.50802080706</c:v>
                </c:pt>
                <c:pt idx="10">
                  <c:v>794794.54042148823</c:v>
                </c:pt>
                <c:pt idx="11">
                  <c:v>#N/A</c:v>
                </c:pt>
                <c:pt idx="12">
                  <c:v>#N/A</c:v>
                </c:pt>
                <c:pt idx="13">
                  <c:v>#N/A</c:v>
                </c:pt>
                <c:pt idx="14">
                  <c:v>#N/A</c:v>
                </c:pt>
                <c:pt idx="15">
                  <c:v>#N/A</c:v>
                </c:pt>
                <c:pt idx="16">
                  <c:v>#N/A</c:v>
                </c:pt>
                <c:pt idx="17">
                  <c:v>#N/A</c:v>
                </c:pt>
                <c:pt idx="18">
                  <c:v>#N/A</c:v>
                </c:pt>
                <c:pt idx="19">
                  <c:v>#N/A</c:v>
                </c:pt>
                <c:pt idx="20">
                  <c:v>#N/A</c:v>
                </c:pt>
              </c:numCache>
            </c:numRef>
          </c:val>
          <c:smooth val="0"/>
          <c:extLst>
            <c:ext xmlns:c16="http://schemas.microsoft.com/office/drawing/2014/chart" uri="{C3380CC4-5D6E-409C-BE32-E72D297353CC}">
              <c16:uniqueId val="{00000004-D774-FA49-B6C2-2572FB9F0D37}"/>
            </c:ext>
          </c:extLst>
        </c:ser>
        <c:dLbls>
          <c:showLegendKey val="0"/>
          <c:showVal val="0"/>
          <c:showCatName val="0"/>
          <c:showSerName val="0"/>
          <c:showPercent val="0"/>
          <c:showBubbleSize val="0"/>
        </c:dLbls>
        <c:marker val="1"/>
        <c:smooth val="0"/>
        <c:axId val="1870935696"/>
        <c:axId val="1"/>
      </c:lineChart>
      <c:catAx>
        <c:axId val="1870935696"/>
        <c:scaling>
          <c:orientation val="minMax"/>
        </c:scaling>
        <c:delete val="0"/>
        <c:axPos val="b"/>
        <c:numFmt formatCode="General" sourceLinked="1"/>
        <c:majorTickMark val="out"/>
        <c:minorTickMark val="none"/>
        <c:tickLblPos val="nextTo"/>
        <c:spPr>
          <a:ln>
            <a:solidFill>
              <a:schemeClr val="bg1">
                <a:lumMod val="75000"/>
              </a:schemeClr>
            </a:solidFill>
          </a:ln>
        </c:spPr>
        <c:crossAx val="1"/>
        <c:crosses val="autoZero"/>
        <c:auto val="1"/>
        <c:lblAlgn val="ctr"/>
        <c:lblOffset val="100"/>
        <c:tickLblSkip val="1"/>
        <c:noMultiLvlLbl val="0"/>
      </c:catAx>
      <c:valAx>
        <c:axId val="1"/>
        <c:scaling>
          <c:orientation val="minMax"/>
        </c:scaling>
        <c:delete val="0"/>
        <c:axPos val="l"/>
        <c:majorGridlines>
          <c:spPr>
            <a:ln>
              <a:solidFill>
                <a:schemeClr val="bg1">
                  <a:lumMod val="75000"/>
                </a:schemeClr>
              </a:solidFill>
            </a:ln>
          </c:spPr>
        </c:majorGridlines>
        <c:numFmt formatCode="#,##0_ ;[Red]\-#,##0\ " sourceLinked="0"/>
        <c:majorTickMark val="out"/>
        <c:minorTickMark val="none"/>
        <c:tickLblPos val="nextTo"/>
        <c:spPr>
          <a:ln>
            <a:solidFill>
              <a:schemeClr val="bg1">
                <a:lumMod val="75000"/>
              </a:schemeClr>
            </a:solidFill>
          </a:ln>
        </c:spPr>
        <c:crossAx val="1870935696"/>
        <c:crosses val="autoZero"/>
        <c:crossBetween val="between"/>
      </c:valAx>
    </c:plotArea>
    <c:legend>
      <c:legendPos val="t"/>
      <c:layout>
        <c:manualLayout>
          <c:xMode val="edge"/>
          <c:yMode val="edge"/>
          <c:x val="0.10228451971141798"/>
          <c:y val="0.76477462954925912"/>
          <c:w val="0.56184531581793473"/>
          <c:h val="0.17859941719883443"/>
        </c:manualLayout>
      </c:layout>
      <c:overlay val="0"/>
    </c:legend>
    <c:plotVisOnly val="1"/>
    <c:dispBlanksAs val="gap"/>
    <c:showDLblsOverMax val="0"/>
  </c:chart>
  <c:spPr>
    <a:noFill/>
    <a:ln>
      <a:solidFill>
        <a:schemeClr val="bg1">
          <a:lumMod val="75000"/>
        </a:schemeClr>
      </a:solidFill>
    </a:ln>
  </c:sp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8</xdr:col>
      <xdr:colOff>152400</xdr:colOff>
      <xdr:row>1</xdr:row>
      <xdr:rowOff>25400</xdr:rowOff>
    </xdr:from>
    <xdr:to>
      <xdr:col>11</xdr:col>
      <xdr:colOff>419100</xdr:colOff>
      <xdr:row>6</xdr:row>
      <xdr:rowOff>25400</xdr:rowOff>
    </xdr:to>
    <xdr:pic>
      <xdr:nvPicPr>
        <xdr:cNvPr id="1158" name="Picture 6" descr="ESA Dark Blue">
          <a:extLst>
            <a:ext uri="{FF2B5EF4-FFF2-40B4-BE49-F238E27FC236}">
              <a16:creationId xmlns:a16="http://schemas.microsoft.com/office/drawing/2014/main" id="{B5D6B28D-C8F5-B44F-BB6C-32A463AE7E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00600" y="190500"/>
          <a:ext cx="2628900" cy="101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25400</xdr:colOff>
      <xdr:row>36</xdr:row>
      <xdr:rowOff>50800</xdr:rowOff>
    </xdr:from>
    <xdr:to>
      <xdr:col>6</xdr:col>
      <xdr:colOff>139700</xdr:colOff>
      <xdr:row>55</xdr:row>
      <xdr:rowOff>88900</xdr:rowOff>
    </xdr:to>
    <xdr:graphicFrame macro="">
      <xdr:nvGraphicFramePr>
        <xdr:cNvPr id="3339" name="Chart 8">
          <a:extLst>
            <a:ext uri="{FF2B5EF4-FFF2-40B4-BE49-F238E27FC236}">
              <a16:creationId xmlns:a16="http://schemas.microsoft.com/office/drawing/2014/main" id="{A0031C5D-7654-FF45-BB22-6CD2ACE3F5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825500</xdr:colOff>
      <xdr:row>36</xdr:row>
      <xdr:rowOff>0</xdr:rowOff>
    </xdr:from>
    <xdr:to>
      <xdr:col>15</xdr:col>
      <xdr:colOff>76200</xdr:colOff>
      <xdr:row>55</xdr:row>
      <xdr:rowOff>63500</xdr:rowOff>
    </xdr:to>
    <xdr:graphicFrame macro="">
      <xdr:nvGraphicFramePr>
        <xdr:cNvPr id="3340" name="Chart 4">
          <a:extLst>
            <a:ext uri="{FF2B5EF4-FFF2-40B4-BE49-F238E27FC236}">
              <a16:creationId xmlns:a16="http://schemas.microsoft.com/office/drawing/2014/main" id="{46B66E09-4D50-D747-A9B3-A08CF1593C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Users/Michele%20Castorina/Documents/ESA/Technical%20Material/Business%20Model-Two%20Way%20Satellite%20Market%20Tool%20EuroConsult%20Files/Two-Way%20Satellite%20Market%20Survey%20-%20Feature%20Evaluation%20Tool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assumptions"/>
      <sheetName val="segments"/>
      <sheetName val="features"/>
      <sheetName val="subscribers"/>
      <sheetName val="OPEX"/>
      <sheetName val="CAPEX"/>
      <sheetName val="income statement"/>
      <sheetName val="graphical result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essr.esa.int/license/esa-software-community-license-type-3-v1-1" TargetMode="Externa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59999389629810485"/>
  </sheetPr>
  <dimension ref="A1:P41"/>
  <sheetViews>
    <sheetView tabSelected="1" zoomScale="110" workbookViewId="0"/>
  </sheetViews>
  <sheetFormatPr baseColWidth="10" defaultColWidth="8.83203125" defaultRowHeight="13" x14ac:dyDescent="0.15"/>
  <cols>
    <col min="1" max="1" width="3.33203125" style="7" customWidth="1"/>
    <col min="2" max="2" width="3.6640625" customWidth="1"/>
    <col min="3" max="3" width="11.6640625" customWidth="1"/>
    <col min="4" max="4" width="5.1640625" customWidth="1"/>
    <col min="6" max="6" width="10.6640625" customWidth="1"/>
    <col min="9" max="9" width="11.83203125" customWidth="1"/>
    <col min="10" max="10" width="10.33203125" customWidth="1"/>
    <col min="12" max="12" width="6.6640625" customWidth="1"/>
  </cols>
  <sheetData>
    <row r="1" spans="1:16" x14ac:dyDescent="0.15">
      <c r="A1" s="44"/>
      <c r="B1" s="37"/>
      <c r="C1" s="37"/>
      <c r="D1" s="37"/>
      <c r="E1" s="37"/>
      <c r="F1" s="37"/>
      <c r="G1" s="37"/>
      <c r="H1" s="37"/>
      <c r="I1" s="37"/>
      <c r="J1" s="37"/>
      <c r="K1" s="37"/>
      <c r="L1" s="37"/>
    </row>
    <row r="2" spans="1:16" ht="28" x14ac:dyDescent="0.3">
      <c r="A2" s="45"/>
      <c r="B2" s="19"/>
      <c r="C2" s="46" t="s">
        <v>5</v>
      </c>
      <c r="D2" s="19"/>
      <c r="E2" s="19"/>
      <c r="F2" s="19"/>
      <c r="G2" s="19"/>
      <c r="H2" s="19"/>
      <c r="I2" s="19"/>
      <c r="J2" s="19"/>
      <c r="K2" s="19"/>
      <c r="L2" s="19"/>
      <c r="M2" s="4"/>
      <c r="N2" s="4"/>
      <c r="O2" s="4"/>
      <c r="P2" s="4"/>
    </row>
    <row r="3" spans="1:16" x14ac:dyDescent="0.15">
      <c r="A3" s="45"/>
      <c r="B3" s="19"/>
      <c r="C3" s="19"/>
      <c r="D3" s="19"/>
      <c r="E3" s="19"/>
      <c r="F3" s="19"/>
      <c r="G3" s="19"/>
      <c r="H3" s="19"/>
      <c r="I3" s="19"/>
      <c r="J3" s="19"/>
      <c r="K3" s="37"/>
      <c r="L3" s="19"/>
      <c r="M3" s="4"/>
      <c r="N3" s="4"/>
      <c r="O3" s="4"/>
      <c r="P3" s="4"/>
    </row>
    <row r="4" spans="1:16" x14ac:dyDescent="0.15">
      <c r="A4" s="45"/>
      <c r="B4" s="19"/>
      <c r="C4" s="19"/>
      <c r="D4" s="19"/>
      <c r="E4" s="19"/>
      <c r="F4" s="19"/>
      <c r="G4" s="19"/>
      <c r="H4" s="19"/>
      <c r="I4" s="19"/>
      <c r="J4" s="19"/>
      <c r="K4" s="19"/>
      <c r="L4" s="19"/>
      <c r="M4" s="4"/>
      <c r="N4" s="4"/>
      <c r="O4" s="4"/>
      <c r="P4" s="4"/>
    </row>
    <row r="5" spans="1:16" x14ac:dyDescent="0.15">
      <c r="A5" s="45"/>
      <c r="B5" s="19"/>
      <c r="C5" s="19" t="s">
        <v>152</v>
      </c>
      <c r="D5" s="19"/>
      <c r="E5" s="19"/>
      <c r="F5" s="19"/>
      <c r="G5" s="19"/>
      <c r="H5" s="19"/>
      <c r="I5" s="19"/>
      <c r="J5" s="47"/>
      <c r="K5" s="19"/>
      <c r="L5" s="19"/>
      <c r="M5" s="4"/>
      <c r="N5" s="4"/>
      <c r="O5" s="4"/>
      <c r="P5" s="4"/>
    </row>
    <row r="6" spans="1:16" x14ac:dyDescent="0.15">
      <c r="A6" s="45"/>
      <c r="B6" s="19"/>
      <c r="C6" s="19" t="s">
        <v>115</v>
      </c>
      <c r="D6" s="19"/>
      <c r="E6" s="19"/>
      <c r="F6" s="19"/>
      <c r="G6" s="19"/>
      <c r="H6" s="19"/>
      <c r="I6" s="19"/>
      <c r="J6" s="47"/>
      <c r="K6" s="19"/>
      <c r="L6" s="19"/>
      <c r="M6" s="4"/>
      <c r="N6" s="4"/>
      <c r="O6" s="4"/>
      <c r="P6" s="4"/>
    </row>
    <row r="7" spans="1:16" x14ac:dyDescent="0.15">
      <c r="A7" s="45"/>
      <c r="B7" s="19"/>
      <c r="C7" s="19"/>
      <c r="D7" s="19"/>
      <c r="E7" s="19"/>
      <c r="F7" s="19"/>
      <c r="G7" s="19"/>
      <c r="H7" s="37"/>
      <c r="I7" s="19"/>
      <c r="J7" s="47"/>
      <c r="K7" s="19"/>
      <c r="L7" s="19"/>
      <c r="M7" s="4"/>
      <c r="N7" s="4"/>
      <c r="O7" s="4"/>
      <c r="P7" s="4"/>
    </row>
    <row r="8" spans="1:16" x14ac:dyDescent="0.15">
      <c r="A8" s="45"/>
      <c r="B8" s="19"/>
      <c r="C8" s="19" t="s">
        <v>81</v>
      </c>
      <c r="D8" s="19"/>
      <c r="E8" s="19"/>
      <c r="F8" s="19"/>
      <c r="G8" s="19"/>
      <c r="H8" s="19"/>
      <c r="I8" s="19"/>
      <c r="J8" s="19"/>
      <c r="K8" s="19"/>
      <c r="L8" s="19"/>
      <c r="M8" s="4"/>
      <c r="N8" s="4"/>
      <c r="O8" s="4"/>
      <c r="P8" s="4"/>
    </row>
    <row r="9" spans="1:16" x14ac:dyDescent="0.15">
      <c r="A9" s="45"/>
      <c r="B9" s="19"/>
      <c r="C9" s="19" t="s">
        <v>153</v>
      </c>
      <c r="D9" s="19"/>
      <c r="E9" s="19"/>
      <c r="F9" s="19"/>
      <c r="G9" s="19"/>
      <c r="H9" s="19"/>
      <c r="I9" s="19"/>
      <c r="J9" s="19"/>
      <c r="K9" s="19"/>
      <c r="L9" s="19"/>
      <c r="M9" s="4"/>
      <c r="N9" s="4"/>
      <c r="O9" s="4"/>
      <c r="P9" s="4"/>
    </row>
    <row r="10" spans="1:16" x14ac:dyDescent="0.15">
      <c r="A10" s="45"/>
      <c r="B10" s="19"/>
      <c r="C10" s="19" t="s">
        <v>154</v>
      </c>
      <c r="D10" s="19"/>
      <c r="E10" s="19"/>
      <c r="F10" s="19"/>
      <c r="G10" s="19"/>
      <c r="H10" s="19"/>
      <c r="I10" s="19"/>
      <c r="J10" s="19"/>
      <c r="K10" s="19"/>
      <c r="L10" s="19"/>
      <c r="M10" s="4"/>
      <c r="N10" s="4"/>
      <c r="O10" s="4"/>
      <c r="P10" s="4"/>
    </row>
    <row r="11" spans="1:16" x14ac:dyDescent="0.15">
      <c r="A11" s="48"/>
      <c r="B11" s="19"/>
      <c r="C11" s="19"/>
      <c r="D11" s="19"/>
      <c r="E11" s="19"/>
      <c r="F11" s="19"/>
      <c r="G11" s="19"/>
      <c r="H11" s="19"/>
      <c r="I11" s="19"/>
      <c r="J11" s="19"/>
      <c r="K11" s="19"/>
      <c r="L11" s="19"/>
      <c r="M11" s="4"/>
      <c r="N11" s="4"/>
      <c r="O11" s="4"/>
      <c r="P11" s="4"/>
    </row>
    <row r="12" spans="1:16" ht="16" x14ac:dyDescent="0.2">
      <c r="A12" s="45"/>
      <c r="B12" s="19"/>
      <c r="C12" s="49" t="s">
        <v>176</v>
      </c>
      <c r="D12" s="19"/>
      <c r="E12" s="19"/>
      <c r="F12" s="19"/>
      <c r="G12" s="19"/>
      <c r="H12" s="19"/>
      <c r="I12" s="19"/>
      <c r="J12" s="19"/>
      <c r="K12" s="19"/>
      <c r="L12" s="19"/>
      <c r="M12" s="4"/>
      <c r="N12" s="4"/>
      <c r="O12" s="4"/>
      <c r="P12" s="4"/>
    </row>
    <row r="13" spans="1:16" ht="15" x14ac:dyDescent="0.2">
      <c r="A13" s="45"/>
      <c r="B13" s="19"/>
      <c r="C13" s="444">
        <v>44840</v>
      </c>
      <c r="D13" s="445"/>
      <c r="E13" s="19"/>
      <c r="F13" s="19"/>
      <c r="G13" s="19"/>
      <c r="H13" s="19"/>
      <c r="I13" s="19"/>
      <c r="J13" s="19"/>
      <c r="K13" s="19"/>
      <c r="L13" s="19"/>
      <c r="M13" s="4"/>
      <c r="N13" s="4"/>
      <c r="O13" s="4"/>
      <c r="P13" s="4"/>
    </row>
    <row r="14" spans="1:16" ht="17" thickBot="1" x14ac:dyDescent="0.25">
      <c r="A14" s="19"/>
      <c r="B14" s="19"/>
      <c r="C14" s="49"/>
      <c r="D14" s="19"/>
      <c r="E14" s="19"/>
      <c r="F14" s="19"/>
      <c r="G14" s="19"/>
      <c r="H14" s="19"/>
      <c r="I14" s="19"/>
      <c r="J14" s="19"/>
      <c r="K14" s="19"/>
      <c r="L14" s="19"/>
      <c r="M14" s="4"/>
      <c r="N14" s="4"/>
      <c r="O14" s="4"/>
      <c r="P14" s="4"/>
    </row>
    <row r="15" spans="1:16" ht="14" thickTop="1" x14ac:dyDescent="0.15">
      <c r="A15" s="19"/>
      <c r="B15" s="19"/>
      <c r="C15" s="50" t="s">
        <v>4</v>
      </c>
      <c r="D15" s="51"/>
      <c r="E15" s="51"/>
      <c r="F15" s="51"/>
      <c r="G15" s="51"/>
      <c r="H15" s="51"/>
      <c r="I15" s="52"/>
      <c r="J15" s="19"/>
      <c r="K15" s="19"/>
      <c r="L15" s="19"/>
      <c r="M15" s="4"/>
      <c r="N15" s="4"/>
      <c r="O15" s="4"/>
      <c r="P15" s="4"/>
    </row>
    <row r="16" spans="1:16" x14ac:dyDescent="0.15">
      <c r="A16" s="45"/>
      <c r="B16" s="19"/>
      <c r="C16" s="53" t="s">
        <v>20</v>
      </c>
      <c r="D16" s="19"/>
      <c r="E16" s="19"/>
      <c r="F16" s="19"/>
      <c r="G16" s="19"/>
      <c r="H16" s="19"/>
      <c r="I16" s="54"/>
      <c r="J16" s="19"/>
      <c r="K16" s="19"/>
      <c r="L16" s="19"/>
      <c r="M16" s="4"/>
      <c r="N16" s="4"/>
      <c r="O16" s="4"/>
      <c r="P16" s="4"/>
    </row>
    <row r="17" spans="1:16" x14ac:dyDescent="0.15">
      <c r="A17" s="45"/>
      <c r="B17" s="19"/>
      <c r="C17" s="53" t="s">
        <v>3</v>
      </c>
      <c r="D17" s="19"/>
      <c r="E17" s="19"/>
      <c r="F17" s="19"/>
      <c r="G17" s="19"/>
      <c r="H17" s="19"/>
      <c r="I17" s="54"/>
      <c r="J17" s="19"/>
      <c r="K17" s="19"/>
      <c r="L17" s="19"/>
      <c r="M17" s="4"/>
      <c r="N17" s="4"/>
      <c r="O17" s="4"/>
      <c r="P17" s="4"/>
    </row>
    <row r="18" spans="1:16" ht="14" thickBot="1" x14ac:dyDescent="0.2">
      <c r="A18" s="45"/>
      <c r="B18" s="19"/>
      <c r="C18" s="55" t="s">
        <v>21</v>
      </c>
      <c r="D18" s="56"/>
      <c r="E18" s="56"/>
      <c r="F18" s="56"/>
      <c r="G18" s="56"/>
      <c r="H18" s="56"/>
      <c r="I18" s="57"/>
      <c r="J18" s="19"/>
      <c r="K18" s="19"/>
      <c r="L18" s="19"/>
      <c r="M18" s="4"/>
      <c r="N18" s="4"/>
      <c r="O18" s="4"/>
      <c r="P18" s="4"/>
    </row>
    <row r="19" spans="1:16" ht="14" thickTop="1" x14ac:dyDescent="0.15">
      <c r="A19" s="45"/>
      <c r="B19" s="19"/>
      <c r="C19" s="19"/>
      <c r="D19" s="19"/>
      <c r="E19" s="19"/>
      <c r="F19" s="19"/>
      <c r="G19" s="19"/>
      <c r="H19" s="19"/>
      <c r="I19" s="19"/>
      <c r="J19" s="19"/>
      <c r="K19" s="19"/>
      <c r="L19" s="19"/>
      <c r="M19" s="4"/>
      <c r="N19" s="4"/>
      <c r="O19" s="4"/>
      <c r="P19" s="4"/>
    </row>
    <row r="20" spans="1:16" s="10" customFormat="1" ht="19" thickBot="1" x14ac:dyDescent="0.25">
      <c r="A20" s="35"/>
      <c r="B20" s="58" t="s">
        <v>73</v>
      </c>
      <c r="C20" s="59"/>
      <c r="D20" s="60"/>
      <c r="E20" s="60"/>
      <c r="F20" s="60"/>
      <c r="G20" s="60"/>
      <c r="H20" s="60"/>
      <c r="I20" s="60"/>
      <c r="J20" s="60"/>
      <c r="K20" s="61"/>
      <c r="L20" s="61"/>
    </row>
    <row r="21" spans="1:16" ht="12.75" customHeight="1" x14ac:dyDescent="0.15">
      <c r="A21" s="19"/>
      <c r="B21" s="62"/>
      <c r="C21" s="19"/>
      <c r="D21" s="19"/>
      <c r="E21" s="19"/>
      <c r="F21" s="19"/>
      <c r="G21" s="19"/>
      <c r="H21" s="19"/>
      <c r="I21" s="19"/>
      <c r="J21" s="19"/>
      <c r="K21" s="19"/>
      <c r="L21" s="19"/>
      <c r="M21" s="4"/>
      <c r="N21" s="4"/>
      <c r="O21" s="4"/>
      <c r="P21" s="4"/>
    </row>
    <row r="22" spans="1:16" ht="12.75" customHeight="1" x14ac:dyDescent="0.15">
      <c r="A22" s="19"/>
      <c r="B22" s="19" t="s">
        <v>74</v>
      </c>
      <c r="C22" s="63"/>
      <c r="D22" s="19"/>
      <c r="E22" s="19"/>
      <c r="F22" s="19"/>
      <c r="G22" s="19"/>
      <c r="H22" s="19"/>
      <c r="I22" s="19"/>
      <c r="J22" s="19"/>
      <c r="K22" s="19"/>
      <c r="L22" s="19"/>
      <c r="M22" s="4"/>
      <c r="N22" s="4"/>
      <c r="O22" s="4"/>
      <c r="P22" s="4"/>
    </row>
    <row r="23" spans="1:16" ht="12.75" customHeight="1" x14ac:dyDescent="0.15">
      <c r="A23" s="19"/>
      <c r="B23" s="19" t="s">
        <v>19</v>
      </c>
      <c r="C23" s="19"/>
      <c r="D23" s="19"/>
      <c r="E23" s="19"/>
      <c r="F23" s="19"/>
      <c r="G23" s="19"/>
      <c r="H23" s="19"/>
      <c r="I23" s="19"/>
      <c r="J23" s="19"/>
      <c r="K23" s="19"/>
      <c r="L23" s="19"/>
      <c r="M23" s="4"/>
      <c r="N23" s="4"/>
      <c r="O23" s="4"/>
      <c r="P23" s="4"/>
    </row>
    <row r="24" spans="1:16" ht="14" x14ac:dyDescent="0.15">
      <c r="A24" s="64"/>
      <c r="B24" s="38"/>
      <c r="C24" s="19"/>
      <c r="D24" s="19"/>
      <c r="E24" s="19"/>
      <c r="F24" s="19"/>
      <c r="G24" s="19"/>
      <c r="H24" s="19"/>
      <c r="I24" s="19"/>
      <c r="J24" s="19"/>
      <c r="K24" s="19"/>
      <c r="L24" s="19"/>
      <c r="M24" s="4"/>
      <c r="N24" s="4"/>
      <c r="O24" s="4"/>
      <c r="P24" s="4"/>
    </row>
    <row r="25" spans="1:16" ht="14" x14ac:dyDescent="0.15">
      <c r="A25" s="64"/>
      <c r="B25" s="62" t="s">
        <v>62</v>
      </c>
      <c r="C25" s="19"/>
      <c r="D25" s="19"/>
      <c r="E25" s="19"/>
      <c r="F25" s="19"/>
      <c r="G25" s="19"/>
      <c r="H25" s="19"/>
      <c r="I25" s="19"/>
      <c r="J25" s="19"/>
      <c r="K25" s="19"/>
      <c r="L25" s="19"/>
      <c r="M25" s="4"/>
      <c r="N25" s="4"/>
      <c r="O25" s="4"/>
      <c r="P25" s="4"/>
    </row>
    <row r="26" spans="1:16" ht="14" x14ac:dyDescent="0.15">
      <c r="A26" s="64"/>
      <c r="B26" s="20"/>
      <c r="C26" s="19" t="s">
        <v>64</v>
      </c>
      <c r="D26" s="19"/>
      <c r="E26" s="19"/>
      <c r="F26" s="19"/>
      <c r="G26" s="19"/>
      <c r="H26" s="19"/>
      <c r="I26" s="19"/>
      <c r="J26" s="19"/>
      <c r="K26" s="19"/>
      <c r="L26" s="19"/>
      <c r="M26" s="4"/>
      <c r="N26" s="4"/>
      <c r="O26" s="4"/>
      <c r="P26" s="4"/>
    </row>
    <row r="27" spans="1:16" ht="14" x14ac:dyDescent="0.15">
      <c r="A27" s="64"/>
      <c r="B27" s="65"/>
      <c r="C27" s="19" t="s">
        <v>63</v>
      </c>
      <c r="D27" s="19"/>
      <c r="E27" s="19"/>
      <c r="F27" s="19"/>
      <c r="G27" s="19"/>
      <c r="H27" s="19"/>
      <c r="I27" s="19"/>
      <c r="J27" s="19"/>
      <c r="K27" s="19"/>
      <c r="L27" s="19"/>
      <c r="M27" s="4"/>
      <c r="N27" s="4"/>
      <c r="O27" s="4"/>
      <c r="P27" s="4"/>
    </row>
    <row r="28" spans="1:16" ht="14" x14ac:dyDescent="0.15">
      <c r="A28" s="64"/>
      <c r="B28" s="19"/>
      <c r="C28" s="19"/>
      <c r="D28" s="19"/>
      <c r="E28" s="19"/>
      <c r="F28" s="19"/>
      <c r="G28" s="19"/>
      <c r="H28" s="19"/>
      <c r="I28" s="19"/>
      <c r="J28" s="19"/>
      <c r="K28" s="19"/>
      <c r="L28" s="19"/>
      <c r="M28" s="4"/>
      <c r="N28" s="4"/>
      <c r="O28" s="4"/>
      <c r="P28" s="4"/>
    </row>
    <row r="29" spans="1:16" x14ac:dyDescent="0.15">
      <c r="A29" s="45"/>
      <c r="B29" s="62" t="s">
        <v>27</v>
      </c>
      <c r="C29" s="19"/>
      <c r="D29" s="19"/>
      <c r="E29" s="19"/>
      <c r="F29" s="19"/>
      <c r="G29" s="19"/>
      <c r="H29" s="19"/>
      <c r="I29" s="19"/>
      <c r="J29" s="19"/>
      <c r="K29" s="19"/>
      <c r="L29" s="19"/>
      <c r="M29" s="4"/>
      <c r="N29" s="4"/>
      <c r="O29" s="4"/>
      <c r="P29" s="4"/>
    </row>
    <row r="30" spans="1:16" x14ac:dyDescent="0.15">
      <c r="A30" s="45"/>
      <c r="B30" s="19" t="s">
        <v>150</v>
      </c>
      <c r="C30" s="66"/>
      <c r="D30" s="19"/>
      <c r="E30" s="19"/>
      <c r="F30" s="19"/>
      <c r="G30" s="19"/>
      <c r="H30" s="19"/>
      <c r="I30" s="19"/>
      <c r="J30" s="19"/>
      <c r="K30" s="19"/>
      <c r="L30" s="19"/>
      <c r="M30" s="4"/>
      <c r="N30" s="4"/>
      <c r="O30" s="4"/>
      <c r="P30" s="4"/>
    </row>
    <row r="31" spans="1:16" x14ac:dyDescent="0.15">
      <c r="A31" s="45"/>
      <c r="B31" s="19"/>
      <c r="C31" s="67"/>
      <c r="D31" s="19"/>
      <c r="E31" s="19"/>
      <c r="F31" s="19"/>
      <c r="G31" s="19"/>
      <c r="H31" s="19"/>
      <c r="I31" s="19"/>
      <c r="J31" s="19"/>
      <c r="K31" s="19"/>
      <c r="L31" s="19"/>
      <c r="M31" s="4"/>
      <c r="N31" s="4"/>
      <c r="O31" s="4"/>
      <c r="P31" s="4"/>
    </row>
    <row r="32" spans="1:16" s="2" customFormat="1" x14ac:dyDescent="0.15">
      <c r="A32" s="68"/>
      <c r="B32" s="69" t="s">
        <v>151</v>
      </c>
      <c r="C32" s="67"/>
      <c r="D32" s="67"/>
      <c r="E32" s="67"/>
      <c r="F32" s="67"/>
      <c r="G32" s="67"/>
      <c r="H32" s="67"/>
      <c r="I32" s="67"/>
      <c r="J32" s="67"/>
      <c r="K32" s="67"/>
      <c r="L32" s="67"/>
      <c r="M32" s="8"/>
      <c r="N32" s="8"/>
      <c r="O32" s="8"/>
      <c r="P32" s="8"/>
    </row>
    <row r="33" spans="1:16" s="3" customFormat="1" x14ac:dyDescent="0.15">
      <c r="A33" s="45"/>
      <c r="B33" s="19" t="s">
        <v>149</v>
      </c>
      <c r="C33" s="19"/>
      <c r="D33" s="19"/>
      <c r="E33" s="19"/>
      <c r="F33" s="19"/>
      <c r="G33" s="19"/>
      <c r="H33" s="19"/>
      <c r="I33" s="19"/>
      <c r="J33" s="47"/>
      <c r="K33" s="47"/>
      <c r="L33" s="47"/>
      <c r="M33" s="6"/>
      <c r="N33" s="6"/>
      <c r="O33" s="6"/>
      <c r="P33" s="6"/>
    </row>
    <row r="34" spans="1:16" ht="12.75" customHeight="1" x14ac:dyDescent="0.15">
      <c r="A34" s="19"/>
      <c r="B34" s="19"/>
      <c r="C34" s="19"/>
      <c r="D34" s="19"/>
      <c r="E34" s="19"/>
      <c r="F34" s="19"/>
      <c r="G34" s="19"/>
      <c r="H34" s="19"/>
      <c r="I34" s="19"/>
      <c r="J34" s="19"/>
      <c r="K34" s="19"/>
      <c r="L34" s="19"/>
      <c r="M34" s="4"/>
      <c r="N34" s="4"/>
      <c r="O34" s="4"/>
      <c r="P34" s="4"/>
    </row>
    <row r="35" spans="1:16" ht="12.75" customHeight="1" x14ac:dyDescent="0.15">
      <c r="A35" s="68"/>
      <c r="B35" s="70" t="s">
        <v>69</v>
      </c>
      <c r="C35" s="19"/>
      <c r="D35" s="19"/>
      <c r="E35" s="19"/>
      <c r="F35" s="19"/>
      <c r="G35" s="19"/>
      <c r="H35" s="19"/>
      <c r="I35" s="19"/>
      <c r="J35" s="19"/>
      <c r="K35" s="19"/>
      <c r="L35" s="19"/>
      <c r="M35" s="4"/>
      <c r="N35" s="4"/>
      <c r="O35" s="4"/>
      <c r="P35" s="4"/>
    </row>
    <row r="36" spans="1:16" ht="12.75" customHeight="1" x14ac:dyDescent="0.2">
      <c r="A36" s="45"/>
      <c r="B36" s="71"/>
      <c r="C36" s="47"/>
      <c r="D36" s="72"/>
      <c r="E36" s="47"/>
      <c r="F36" s="47"/>
      <c r="G36" s="47"/>
      <c r="H36" s="47"/>
      <c r="I36" s="47"/>
      <c r="J36" s="19"/>
      <c r="K36" s="19"/>
      <c r="L36" s="19"/>
      <c r="M36" s="4"/>
      <c r="N36" s="4"/>
      <c r="O36" s="4"/>
      <c r="P36" s="4"/>
    </row>
    <row r="37" spans="1:16" ht="19" thickBot="1" x14ac:dyDescent="0.25">
      <c r="A37" s="45"/>
      <c r="B37" s="58" t="s">
        <v>156</v>
      </c>
      <c r="C37" s="371"/>
      <c r="D37" s="371"/>
      <c r="E37" s="371"/>
      <c r="F37" s="371"/>
      <c r="G37" s="371"/>
      <c r="H37" s="371"/>
      <c r="I37" s="371"/>
      <c r="J37" s="372"/>
      <c r="K37" s="19"/>
      <c r="L37" s="19"/>
      <c r="M37" s="4"/>
      <c r="N37" s="4"/>
      <c r="O37" s="4"/>
      <c r="P37" s="4"/>
    </row>
    <row r="38" spans="1:16" x14ac:dyDescent="0.15">
      <c r="A38" s="45"/>
      <c r="B38" s="19"/>
      <c r="C38" s="47"/>
      <c r="D38" s="19"/>
      <c r="E38" s="19"/>
      <c r="F38" s="19"/>
      <c r="G38" s="19"/>
      <c r="H38" s="19"/>
      <c r="I38" s="19"/>
      <c r="J38" s="19"/>
      <c r="K38" s="19"/>
      <c r="L38" s="19"/>
      <c r="M38" s="4"/>
      <c r="N38" s="4"/>
      <c r="O38" s="4"/>
      <c r="P38" s="4"/>
    </row>
    <row r="39" spans="1:16" x14ac:dyDescent="0.15">
      <c r="A39" s="45"/>
      <c r="B39" s="19" t="s">
        <v>155</v>
      </c>
      <c r="C39" s="47"/>
      <c r="D39" s="19"/>
      <c r="E39" s="19"/>
      <c r="F39" s="19"/>
      <c r="G39" s="19"/>
      <c r="H39" s="19"/>
      <c r="I39" s="19"/>
      <c r="J39" s="19"/>
      <c r="K39" s="19"/>
      <c r="L39" s="19"/>
      <c r="M39" s="4"/>
      <c r="N39" s="4"/>
      <c r="O39" s="4"/>
      <c r="P39" s="4"/>
    </row>
    <row r="40" spans="1:16" x14ac:dyDescent="0.15">
      <c r="A40" s="45"/>
      <c r="B40" s="373" t="s">
        <v>157</v>
      </c>
      <c r="C40" s="47"/>
      <c r="D40" s="19"/>
      <c r="E40" s="19"/>
      <c r="F40" s="19"/>
      <c r="G40" s="19"/>
      <c r="H40" s="19"/>
      <c r="I40" s="19"/>
      <c r="J40" s="19"/>
      <c r="K40" s="19"/>
      <c r="L40" s="19"/>
      <c r="M40" s="4"/>
      <c r="N40" s="4"/>
      <c r="O40" s="4"/>
      <c r="P40" s="4"/>
    </row>
    <row r="41" spans="1:16" x14ac:dyDescent="0.15">
      <c r="A41" s="44"/>
      <c r="B41" s="37"/>
      <c r="C41" s="37"/>
      <c r="D41" s="37"/>
      <c r="E41" s="37"/>
      <c r="F41" s="37"/>
      <c r="G41" s="37"/>
      <c r="H41" s="37"/>
      <c r="I41" s="37"/>
      <c r="J41" s="37"/>
      <c r="K41" s="37"/>
      <c r="L41" s="37"/>
    </row>
  </sheetData>
  <sheetProtection algorithmName="SHA-512" hashValue="cOSYXYZqLhSd5tjx3XIQ7phRvrZPmdsvgMftKgc+xYiOvMl6WiyPimqE42jPCvQuwkCackHFn61EJjMDazGDEw==" saltValue="HwHY5vilNx+k1WfD6hNcKw==" spinCount="100000" sheet="1" objects="1" scenarios="1"/>
  <mergeCells count="1">
    <mergeCell ref="C13:D13"/>
  </mergeCells>
  <conditionalFormatting sqref="D36">
    <cfRule type="expression" dxfId="78" priority="1">
      <formula>$F$30="No"</formula>
    </cfRule>
    <cfRule type="expression" dxfId="77" priority="2">
      <formula>$F$30="No"</formula>
    </cfRule>
    <cfRule type="expression" dxfId="76" priority="3">
      <formula>$F$30="Yes"</formula>
    </cfRule>
  </conditionalFormatting>
  <hyperlinks>
    <hyperlink ref="B35" r:id="rId1" xr:uid="{00000000-0004-0000-0000-000000000000}"/>
  </hyperlinks>
  <pageMargins left="0.75" right="0.75" top="1" bottom="1" header="0.5" footer="0.5"/>
  <pageSetup scale="94" orientation="portrait" horizontalDpi="4294967292" verticalDpi="4294967292"/>
  <headerFooter alignWithMargins="0">
    <oddHeader xml:space="preserve">&amp;L&amp;"Arial,Bold Italic"&amp;8Financial Forecast Workbook&amp;R&amp;"Arial,Italic"&amp;8Overview </oddHeader>
    <oddFooter>&amp;L&amp;"Arial,Italic"&amp;8Version EA-20111014&amp;C&amp;"Arial,Italic"&amp;8Copyright (c) 2011 wendykennedy.com inc.&amp;R&amp;"Arial,Italic"&amp;8Page  &amp;P of &amp;N</oddFooter>
  </headerFooter>
  <rowBreaks count="1" manualBreakCount="1">
    <brk id="17"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W75"/>
  <sheetViews>
    <sheetView zoomScaleNormal="100" workbookViewId="0"/>
  </sheetViews>
  <sheetFormatPr baseColWidth="10" defaultColWidth="8.83203125" defaultRowHeight="13" x14ac:dyDescent="0.15"/>
  <cols>
    <col min="1" max="1" width="2.5" customWidth="1"/>
    <col min="2" max="2" width="7" customWidth="1"/>
    <col min="3" max="3" width="33.83203125" customWidth="1"/>
    <col min="4" max="4" width="11" customWidth="1"/>
    <col min="5" max="5" width="12.1640625" customWidth="1"/>
    <col min="6" max="15" width="11" customWidth="1"/>
    <col min="16" max="16" width="3" customWidth="1"/>
    <col min="17" max="21" width="8.6640625" customWidth="1"/>
    <col min="22" max="22" width="8.83203125" customWidth="1"/>
    <col min="23" max="24" width="8.6640625" customWidth="1"/>
    <col min="25" max="101" width="8.83203125" customWidth="1"/>
  </cols>
  <sheetData>
    <row r="1" spans="1:22" x14ac:dyDescent="0.15">
      <c r="A1" s="37"/>
      <c r="B1" s="37"/>
      <c r="C1" s="37"/>
      <c r="D1" s="37"/>
      <c r="E1" s="37"/>
      <c r="F1" s="37"/>
      <c r="G1" s="37"/>
      <c r="H1" s="37"/>
      <c r="I1" s="37"/>
      <c r="J1" s="37"/>
      <c r="K1" s="37"/>
      <c r="L1" s="37"/>
      <c r="M1" s="37"/>
      <c r="N1" s="37"/>
      <c r="O1" s="37"/>
      <c r="P1" s="37"/>
    </row>
    <row r="2" spans="1:22" ht="19" thickBot="1" x14ac:dyDescent="0.25">
      <c r="A2" s="37"/>
      <c r="B2" s="42" t="s">
        <v>18</v>
      </c>
      <c r="C2" s="448" t="s">
        <v>37</v>
      </c>
      <c r="D2" s="448"/>
      <c r="E2" s="448"/>
      <c r="F2" s="448"/>
      <c r="G2" s="448"/>
      <c r="H2" s="448"/>
      <c r="I2" s="448"/>
      <c r="J2" s="448"/>
      <c r="K2" s="448"/>
      <c r="L2" s="448"/>
      <c r="M2" s="448"/>
      <c r="N2" s="448"/>
      <c r="O2" s="448"/>
      <c r="P2" s="37"/>
    </row>
    <row r="3" spans="1:22" ht="15.75" customHeight="1" x14ac:dyDescent="0.2">
      <c r="A3" s="37"/>
      <c r="B3" s="35"/>
      <c r="C3" s="36"/>
      <c r="D3" s="19"/>
      <c r="E3" s="37"/>
      <c r="F3" s="37"/>
      <c r="G3" s="37"/>
      <c r="H3" s="37"/>
      <c r="I3" s="37"/>
      <c r="J3" s="37"/>
      <c r="K3" s="37"/>
      <c r="L3" s="37"/>
      <c r="M3" s="37"/>
      <c r="N3" s="37"/>
      <c r="O3" s="37"/>
      <c r="P3" s="37"/>
    </row>
    <row r="4" spans="1:22" ht="14" thickBot="1" x14ac:dyDescent="0.2">
      <c r="A4" s="37"/>
      <c r="B4" s="19"/>
      <c r="C4" s="2" t="s">
        <v>170</v>
      </c>
      <c r="D4" s="4"/>
      <c r="E4" s="37"/>
      <c r="F4" s="37"/>
      <c r="G4" s="37"/>
      <c r="H4" s="38"/>
      <c r="I4" s="37"/>
      <c r="J4" s="37"/>
      <c r="K4" s="37"/>
      <c r="L4" s="37"/>
      <c r="M4" s="37"/>
      <c r="N4" s="37"/>
      <c r="O4" s="37"/>
      <c r="P4" s="37"/>
    </row>
    <row r="5" spans="1:22" ht="22.5" customHeight="1" x14ac:dyDescent="0.15">
      <c r="A5" s="37"/>
      <c r="B5" s="487" t="s">
        <v>45</v>
      </c>
      <c r="C5" s="451" t="s">
        <v>38</v>
      </c>
      <c r="D5" s="483" t="s">
        <v>66</v>
      </c>
      <c r="E5" s="75" t="s">
        <v>161</v>
      </c>
      <c r="F5" s="75" t="s">
        <v>46</v>
      </c>
      <c r="G5" s="21" t="s">
        <v>39</v>
      </c>
      <c r="H5" s="28" t="s">
        <v>40</v>
      </c>
      <c r="I5" s="37"/>
      <c r="J5" s="37"/>
      <c r="K5" s="37"/>
      <c r="L5" s="37"/>
      <c r="M5" s="37"/>
      <c r="N5" s="37"/>
      <c r="O5" s="38"/>
      <c r="P5" s="37"/>
    </row>
    <row r="6" spans="1:22" ht="11.25" customHeight="1" thickBot="1" x14ac:dyDescent="0.2">
      <c r="A6" s="37"/>
      <c r="B6" s="488"/>
      <c r="C6" s="452"/>
      <c r="D6" s="484"/>
      <c r="E6" s="76" t="s">
        <v>160</v>
      </c>
      <c r="F6" s="76" t="s">
        <v>47</v>
      </c>
      <c r="G6" s="82" t="s">
        <v>65</v>
      </c>
      <c r="H6" s="83" t="s">
        <v>65</v>
      </c>
      <c r="I6" s="37"/>
      <c r="J6" s="37"/>
      <c r="K6" s="37"/>
      <c r="L6" s="37"/>
      <c r="M6" s="37"/>
      <c r="N6" s="37"/>
      <c r="O6" s="38"/>
      <c r="P6" s="37"/>
    </row>
    <row r="7" spans="1:22" ht="15" customHeight="1" x14ac:dyDescent="0.15">
      <c r="A7" s="37"/>
      <c r="B7" s="488"/>
      <c r="C7" s="84" t="s">
        <v>41</v>
      </c>
      <c r="D7" s="389" t="s">
        <v>144</v>
      </c>
      <c r="E7" s="424">
        <v>500000</v>
      </c>
      <c r="F7" s="85">
        <v>0.5</v>
      </c>
      <c r="G7" s="86">
        <v>44805</v>
      </c>
      <c r="H7" s="87">
        <v>44896</v>
      </c>
      <c r="I7" s="37"/>
      <c r="J7" s="37"/>
      <c r="K7" s="37"/>
      <c r="L7" s="37"/>
      <c r="M7" s="37"/>
      <c r="N7" s="37"/>
      <c r="O7" s="38"/>
      <c r="P7" s="37"/>
    </row>
    <row r="8" spans="1:22" ht="15" customHeight="1" x14ac:dyDescent="0.15">
      <c r="A8" s="37"/>
      <c r="B8" s="488"/>
      <c r="C8" s="22" t="s">
        <v>42</v>
      </c>
      <c r="D8" s="390" t="s">
        <v>67</v>
      </c>
      <c r="E8" s="425">
        <v>1000000</v>
      </c>
      <c r="F8" s="30">
        <v>0.75</v>
      </c>
      <c r="G8" s="31">
        <v>44927</v>
      </c>
      <c r="H8" s="32">
        <v>45200</v>
      </c>
      <c r="I8" s="37"/>
      <c r="J8" s="37"/>
      <c r="K8" s="37"/>
      <c r="L8" s="37"/>
      <c r="M8" s="37"/>
      <c r="N8" s="37"/>
      <c r="O8" s="38"/>
      <c r="P8" s="37"/>
    </row>
    <row r="9" spans="1:22" ht="15" customHeight="1" x14ac:dyDescent="0.15">
      <c r="A9" s="37"/>
      <c r="B9" s="488"/>
      <c r="C9" s="22" t="s">
        <v>23</v>
      </c>
      <c r="D9" s="390" t="s">
        <v>67</v>
      </c>
      <c r="E9" s="425">
        <v>800000</v>
      </c>
      <c r="F9" s="30">
        <v>0.5</v>
      </c>
      <c r="G9" s="31">
        <v>45231</v>
      </c>
      <c r="H9" s="32">
        <v>45413</v>
      </c>
      <c r="I9" s="37"/>
      <c r="J9" s="37"/>
      <c r="K9" s="37"/>
      <c r="L9" s="37"/>
      <c r="M9" s="37"/>
      <c r="N9" s="37"/>
      <c r="O9" s="38"/>
      <c r="P9" s="37"/>
    </row>
    <row r="10" spans="1:22" ht="15" customHeight="1" x14ac:dyDescent="0.15">
      <c r="A10" s="37"/>
      <c r="B10" s="488"/>
      <c r="C10" s="22" t="s">
        <v>43</v>
      </c>
      <c r="D10" s="390" t="s">
        <v>163</v>
      </c>
      <c r="E10" s="425">
        <v>600000</v>
      </c>
      <c r="F10" s="30">
        <v>0.5</v>
      </c>
      <c r="G10" s="31">
        <v>45444</v>
      </c>
      <c r="H10" s="32">
        <v>45992</v>
      </c>
      <c r="I10" s="37"/>
      <c r="J10" s="37"/>
      <c r="K10" s="37"/>
      <c r="L10" s="37"/>
      <c r="M10" s="37"/>
      <c r="N10" s="37"/>
      <c r="O10" s="38"/>
      <c r="P10" s="37"/>
    </row>
    <row r="11" spans="1:22" ht="15" customHeight="1" thickBot="1" x14ac:dyDescent="0.2">
      <c r="A11" s="37"/>
      <c r="B11" s="489"/>
      <c r="C11" s="23" t="s">
        <v>44</v>
      </c>
      <c r="D11" s="25" t="s">
        <v>68</v>
      </c>
      <c r="E11" s="24" t="s">
        <v>68</v>
      </c>
      <c r="F11" s="24" t="s">
        <v>68</v>
      </c>
      <c r="G11" s="78">
        <v>45292</v>
      </c>
      <c r="H11" s="74">
        <v>48549</v>
      </c>
      <c r="I11" s="37"/>
      <c r="J11" s="37"/>
      <c r="K11" s="37"/>
      <c r="L11" s="37"/>
      <c r="M11" s="37"/>
      <c r="N11" s="37"/>
      <c r="O11" s="38"/>
      <c r="P11" s="37"/>
    </row>
    <row r="12" spans="1:22" x14ac:dyDescent="0.15">
      <c r="A12" s="37"/>
      <c r="B12" s="19"/>
      <c r="C12" s="39"/>
      <c r="D12" s="37"/>
      <c r="E12" s="37"/>
      <c r="F12" s="37"/>
      <c r="G12" s="37"/>
      <c r="H12" s="37"/>
      <c r="I12" s="38"/>
      <c r="J12" s="38"/>
      <c r="K12" s="38"/>
      <c r="L12" s="38"/>
      <c r="M12" s="38"/>
      <c r="N12" s="38"/>
      <c r="O12" s="38"/>
      <c r="P12" s="38"/>
      <c r="Q12" s="29"/>
      <c r="R12" s="29"/>
      <c r="S12" s="29"/>
      <c r="T12" s="29"/>
      <c r="U12" s="29"/>
      <c r="V12" s="29"/>
    </row>
    <row r="13" spans="1:22" x14ac:dyDescent="0.15">
      <c r="A13" s="37"/>
      <c r="B13" s="19"/>
      <c r="C13" s="19"/>
      <c r="D13" s="37"/>
      <c r="E13" s="37"/>
      <c r="F13" s="37"/>
      <c r="G13" s="37"/>
      <c r="H13" s="37"/>
      <c r="I13" s="37"/>
      <c r="J13" s="37"/>
      <c r="K13" s="37"/>
      <c r="L13" s="37"/>
      <c r="M13" s="37"/>
      <c r="N13" s="37"/>
      <c r="O13" s="37"/>
      <c r="P13" s="37"/>
    </row>
    <row r="14" spans="1:22" ht="14" thickBot="1" x14ac:dyDescent="0.2">
      <c r="A14" s="37"/>
      <c r="B14" s="19"/>
      <c r="C14" s="2" t="s">
        <v>139</v>
      </c>
      <c r="D14" s="37"/>
      <c r="E14" s="37"/>
      <c r="F14" s="37"/>
      <c r="G14" s="37"/>
      <c r="H14" s="37"/>
      <c r="I14" s="37"/>
      <c r="J14" s="37"/>
      <c r="K14" s="37"/>
      <c r="L14" s="37"/>
      <c r="M14" s="37"/>
      <c r="N14" s="37"/>
      <c r="O14" s="37"/>
      <c r="P14" s="37"/>
    </row>
    <row r="15" spans="1:22" ht="18" customHeight="1" x14ac:dyDescent="0.15">
      <c r="A15" s="37"/>
      <c r="B15" s="41"/>
      <c r="C15" s="485" t="s">
        <v>32</v>
      </c>
      <c r="D15" s="453" t="s">
        <v>171</v>
      </c>
      <c r="E15" s="453" t="s">
        <v>172</v>
      </c>
      <c r="F15" s="455" t="s">
        <v>173</v>
      </c>
      <c r="G15" s="449" t="s">
        <v>174</v>
      </c>
      <c r="H15" s="37"/>
      <c r="I15" s="37"/>
      <c r="J15" s="37"/>
      <c r="K15" s="37"/>
      <c r="L15" s="37"/>
      <c r="M15" s="37"/>
      <c r="N15" s="37"/>
      <c r="O15" s="37"/>
      <c r="P15" s="37"/>
    </row>
    <row r="16" spans="1:22" ht="21" customHeight="1" thickBot="1" x14ac:dyDescent="0.2">
      <c r="A16" s="37"/>
      <c r="B16" s="11"/>
      <c r="C16" s="486"/>
      <c r="D16" s="454"/>
      <c r="E16" s="454"/>
      <c r="F16" s="456"/>
      <c r="G16" s="450"/>
      <c r="H16" s="37"/>
      <c r="I16" s="37"/>
      <c r="J16" s="37"/>
      <c r="K16" s="37"/>
      <c r="L16" s="37"/>
      <c r="M16" s="37"/>
      <c r="N16" s="37"/>
      <c r="O16" s="37"/>
      <c r="P16" s="37"/>
    </row>
    <row r="17" spans="1:23" ht="15" customHeight="1" x14ac:dyDescent="0.15">
      <c r="A17" s="37"/>
      <c r="B17" s="487" t="s">
        <v>31</v>
      </c>
      <c r="C17" s="81" t="s">
        <v>28</v>
      </c>
      <c r="D17" s="406">
        <v>17000</v>
      </c>
      <c r="E17" s="407">
        <v>5000</v>
      </c>
      <c r="F17" s="408">
        <v>2500</v>
      </c>
      <c r="G17" s="409">
        <v>16000</v>
      </c>
      <c r="H17" s="37"/>
      <c r="I17" s="37"/>
      <c r="J17" s="37"/>
      <c r="K17" s="37"/>
      <c r="L17" s="37"/>
      <c r="M17" s="37"/>
      <c r="N17" s="37"/>
      <c r="O17" s="37"/>
      <c r="P17" s="37"/>
      <c r="R17" s="88"/>
    </row>
    <row r="18" spans="1:23" ht="15" customHeight="1" x14ac:dyDescent="0.15">
      <c r="A18" s="37"/>
      <c r="B18" s="488"/>
      <c r="C18" s="33" t="s">
        <v>29</v>
      </c>
      <c r="D18" s="410">
        <v>0</v>
      </c>
      <c r="E18" s="411">
        <v>0</v>
      </c>
      <c r="F18" s="412">
        <v>0</v>
      </c>
      <c r="G18" s="413">
        <v>0</v>
      </c>
      <c r="H18" s="37"/>
      <c r="I18" s="37"/>
      <c r="J18" s="37"/>
      <c r="K18" s="37"/>
      <c r="L18" s="37"/>
      <c r="M18" s="37"/>
      <c r="N18" s="37"/>
      <c r="O18" s="37"/>
      <c r="P18" s="37"/>
      <c r="R18" s="15"/>
    </row>
    <row r="19" spans="1:23" ht="15" customHeight="1" x14ac:dyDescent="0.15">
      <c r="A19" s="37"/>
      <c r="B19" s="488"/>
      <c r="C19" s="33" t="s">
        <v>30</v>
      </c>
      <c r="D19" s="410">
        <v>0</v>
      </c>
      <c r="E19" s="411">
        <v>0</v>
      </c>
      <c r="F19" s="412">
        <v>0</v>
      </c>
      <c r="G19" s="413">
        <v>0</v>
      </c>
      <c r="H19" s="37"/>
      <c r="I19" s="37"/>
      <c r="J19" s="37"/>
      <c r="K19" s="37"/>
      <c r="L19" s="37"/>
      <c r="M19" s="37"/>
      <c r="N19" s="37"/>
      <c r="O19" s="37"/>
      <c r="P19" s="37"/>
      <c r="R19" s="15"/>
    </row>
    <row r="20" spans="1:23" ht="15" customHeight="1" x14ac:dyDescent="0.15">
      <c r="A20" s="37"/>
      <c r="B20" s="488"/>
      <c r="C20" s="33" t="s">
        <v>164</v>
      </c>
      <c r="D20" s="410">
        <v>0</v>
      </c>
      <c r="E20" s="411">
        <v>0</v>
      </c>
      <c r="F20" s="412">
        <v>0</v>
      </c>
      <c r="G20" s="413">
        <v>0</v>
      </c>
      <c r="H20" s="37"/>
      <c r="I20" s="37"/>
      <c r="J20" s="37"/>
      <c r="K20" s="37"/>
      <c r="L20" s="37"/>
      <c r="M20" s="37"/>
      <c r="N20" s="37"/>
      <c r="O20" s="37"/>
      <c r="P20" s="37"/>
      <c r="R20" s="15"/>
    </row>
    <row r="21" spans="1:23" ht="15" customHeight="1" x14ac:dyDescent="0.15">
      <c r="A21" s="37"/>
      <c r="B21" s="488"/>
      <c r="C21" s="33" t="s">
        <v>165</v>
      </c>
      <c r="D21" s="410">
        <v>0</v>
      </c>
      <c r="E21" s="411">
        <v>0</v>
      </c>
      <c r="F21" s="412">
        <v>0</v>
      </c>
      <c r="G21" s="413">
        <v>0</v>
      </c>
      <c r="H21" s="37"/>
      <c r="I21" s="37"/>
      <c r="J21" s="37"/>
      <c r="K21" s="37"/>
      <c r="L21" s="37"/>
      <c r="M21" s="37"/>
      <c r="N21" s="37"/>
      <c r="O21" s="37"/>
      <c r="P21" s="37"/>
      <c r="R21" s="15"/>
    </row>
    <row r="22" spans="1:23" ht="15" customHeight="1" x14ac:dyDescent="0.15">
      <c r="A22" s="37"/>
      <c r="B22" s="488"/>
      <c r="C22" s="33" t="s">
        <v>166</v>
      </c>
      <c r="D22" s="410">
        <v>0</v>
      </c>
      <c r="E22" s="411">
        <v>0</v>
      </c>
      <c r="F22" s="412">
        <v>0</v>
      </c>
      <c r="G22" s="413">
        <v>0</v>
      </c>
      <c r="H22" s="37"/>
      <c r="I22" s="37"/>
      <c r="J22" s="37"/>
      <c r="K22" s="37"/>
      <c r="L22" s="37"/>
      <c r="M22" s="37"/>
      <c r="N22" s="37"/>
      <c r="O22" s="37"/>
      <c r="P22" s="37"/>
      <c r="R22" s="15"/>
    </row>
    <row r="23" spans="1:23" ht="15" customHeight="1" thickBot="1" x14ac:dyDescent="0.2">
      <c r="A23" s="37"/>
      <c r="B23" s="489"/>
      <c r="C23" s="33" t="s">
        <v>167</v>
      </c>
      <c r="D23" s="410">
        <v>0</v>
      </c>
      <c r="E23" s="411">
        <v>0</v>
      </c>
      <c r="F23" s="412">
        <v>0</v>
      </c>
      <c r="G23" s="413">
        <v>0</v>
      </c>
      <c r="H23" s="37"/>
      <c r="I23" s="37"/>
      <c r="J23" s="37"/>
      <c r="K23" s="37"/>
      <c r="L23" s="37"/>
      <c r="M23" s="37"/>
      <c r="N23" s="37"/>
      <c r="O23" s="37"/>
      <c r="P23" s="37"/>
      <c r="R23" s="15"/>
    </row>
    <row r="24" spans="1:23" ht="15" customHeight="1" x14ac:dyDescent="0.15">
      <c r="A24" s="37"/>
      <c r="B24" s="73"/>
      <c r="C24" s="93" t="s">
        <v>75</v>
      </c>
      <c r="D24" s="386">
        <v>0.02</v>
      </c>
      <c r="E24" s="386">
        <v>0.02</v>
      </c>
      <c r="F24" s="386">
        <v>0.02</v>
      </c>
      <c r="G24" s="387">
        <v>0.02</v>
      </c>
      <c r="H24" s="37"/>
      <c r="I24" s="37"/>
      <c r="J24" s="37"/>
      <c r="K24" s="37"/>
      <c r="L24" s="37"/>
      <c r="M24" s="37"/>
      <c r="N24" s="37"/>
      <c r="O24" s="37"/>
      <c r="P24" s="37"/>
    </row>
    <row r="25" spans="1:23" ht="14" thickBot="1" x14ac:dyDescent="0.2">
      <c r="A25" s="37"/>
      <c r="B25" s="40"/>
      <c r="C25" s="94" t="s">
        <v>76</v>
      </c>
      <c r="D25" s="96"/>
      <c r="E25" s="95"/>
      <c r="F25" s="388">
        <v>0.1</v>
      </c>
      <c r="G25" s="97"/>
      <c r="H25" s="37"/>
      <c r="I25" s="37"/>
      <c r="J25" s="37"/>
      <c r="K25" s="37"/>
      <c r="L25" s="37"/>
      <c r="M25" s="37"/>
      <c r="N25" s="37"/>
      <c r="O25" s="37"/>
      <c r="P25" s="37"/>
    </row>
    <row r="26" spans="1:23" x14ac:dyDescent="0.15">
      <c r="A26" s="37"/>
      <c r="B26" s="40"/>
      <c r="C26" s="37"/>
      <c r="D26" s="37"/>
      <c r="E26" s="37"/>
      <c r="F26" s="37"/>
      <c r="G26" s="37"/>
      <c r="H26" s="37"/>
      <c r="I26" s="37"/>
      <c r="J26" s="37"/>
      <c r="K26" s="37"/>
      <c r="L26" s="37"/>
      <c r="M26" s="37"/>
      <c r="N26" s="37"/>
      <c r="O26" s="37"/>
      <c r="P26" s="37"/>
    </row>
    <row r="27" spans="1:23" ht="12.75" customHeight="1" x14ac:dyDescent="0.15">
      <c r="A27" s="37"/>
      <c r="B27" s="37"/>
      <c r="C27" s="37"/>
      <c r="D27" s="37"/>
      <c r="E27" s="37"/>
      <c r="F27" s="37"/>
      <c r="G27" s="37"/>
      <c r="H27" s="37"/>
      <c r="I27" s="37"/>
      <c r="J27" s="37"/>
      <c r="K27" s="37"/>
      <c r="L27" s="37"/>
      <c r="M27" s="37"/>
      <c r="N27" s="37"/>
      <c r="O27" s="37"/>
      <c r="P27" s="37"/>
    </row>
    <row r="28" spans="1:23" ht="14" thickBot="1" x14ac:dyDescent="0.2">
      <c r="A28" s="37"/>
      <c r="B28" s="37"/>
      <c r="C28" s="2" t="s">
        <v>175</v>
      </c>
      <c r="D28" s="37"/>
      <c r="E28" s="37"/>
      <c r="F28" s="37"/>
      <c r="G28" s="37"/>
      <c r="H28" s="37"/>
      <c r="I28" s="37"/>
      <c r="J28" s="37"/>
      <c r="K28" s="37"/>
      <c r="L28" s="37"/>
      <c r="M28" s="37"/>
      <c r="N28" s="37"/>
      <c r="O28" s="37"/>
      <c r="P28" s="37"/>
    </row>
    <row r="29" spans="1:23" ht="12.75" customHeight="1" x14ac:dyDescent="0.15">
      <c r="A29" s="37"/>
      <c r="B29" s="487" t="s">
        <v>36</v>
      </c>
      <c r="C29" s="492" t="s">
        <v>82</v>
      </c>
      <c r="D29" s="493"/>
      <c r="E29" s="26">
        <f>+$G$11</f>
        <v>45292</v>
      </c>
      <c r="F29" s="91" t="s">
        <v>116</v>
      </c>
      <c r="G29" s="89"/>
      <c r="H29" s="89"/>
      <c r="I29" s="89"/>
      <c r="J29" s="89"/>
      <c r="K29" s="89"/>
      <c r="L29" s="89"/>
      <c r="M29" s="89"/>
      <c r="N29" s="89"/>
      <c r="O29" s="90"/>
      <c r="P29" s="37"/>
    </row>
    <row r="30" spans="1:23" ht="14" thickBot="1" x14ac:dyDescent="0.2">
      <c r="A30" s="37"/>
      <c r="B30" s="488"/>
      <c r="C30" s="494"/>
      <c r="D30" s="495"/>
      <c r="E30" s="404">
        <v>0</v>
      </c>
      <c r="F30" s="404">
        <v>1</v>
      </c>
      <c r="G30" s="404">
        <v>2</v>
      </c>
      <c r="H30" s="404">
        <v>3</v>
      </c>
      <c r="I30" s="404">
        <v>4</v>
      </c>
      <c r="J30" s="404">
        <v>5</v>
      </c>
      <c r="K30" s="404">
        <v>6</v>
      </c>
      <c r="L30" s="404">
        <v>7</v>
      </c>
      <c r="M30" s="404">
        <v>8</v>
      </c>
      <c r="N30" s="404">
        <v>9</v>
      </c>
      <c r="O30" s="405">
        <v>10</v>
      </c>
      <c r="P30" s="37"/>
      <c r="Q30" s="34"/>
      <c r="R30" s="34"/>
      <c r="S30" s="34"/>
      <c r="T30" s="34"/>
      <c r="U30" s="34"/>
      <c r="V30" s="34"/>
      <c r="W30" s="34"/>
    </row>
    <row r="31" spans="1:23" x14ac:dyDescent="0.15">
      <c r="A31" s="37"/>
      <c r="B31" s="488"/>
      <c r="C31" s="496" t="str">
        <f t="shared" ref="C31:C37" si="0">+C17</f>
        <v>Customer Segment 1 (CS1)</v>
      </c>
      <c r="D31" s="465"/>
      <c r="E31" s="391">
        <v>10</v>
      </c>
      <c r="F31" s="391">
        <v>50</v>
      </c>
      <c r="G31" s="391">
        <v>100</v>
      </c>
      <c r="H31" s="391">
        <v>110</v>
      </c>
      <c r="I31" s="391">
        <v>115</v>
      </c>
      <c r="J31" s="391">
        <v>130</v>
      </c>
      <c r="K31" s="391">
        <v>150</v>
      </c>
      <c r="L31" s="391">
        <v>135</v>
      </c>
      <c r="M31" s="391">
        <v>130</v>
      </c>
      <c r="N31" s="391">
        <v>120</v>
      </c>
      <c r="O31" s="392">
        <v>110</v>
      </c>
      <c r="P31" s="37"/>
    </row>
    <row r="32" spans="1:23" x14ac:dyDescent="0.15">
      <c r="A32" s="37"/>
      <c r="B32" s="488"/>
      <c r="C32" s="446" t="str">
        <f t="shared" si="0"/>
        <v>Customer Segment 2 (CS2)</v>
      </c>
      <c r="D32" s="447"/>
      <c r="E32" s="393">
        <v>0</v>
      </c>
      <c r="F32" s="393">
        <v>0</v>
      </c>
      <c r="G32" s="393">
        <v>0</v>
      </c>
      <c r="H32" s="393">
        <v>0</v>
      </c>
      <c r="I32" s="393">
        <v>0</v>
      </c>
      <c r="J32" s="393">
        <v>0</v>
      </c>
      <c r="K32" s="393">
        <v>0</v>
      </c>
      <c r="L32" s="393">
        <v>0</v>
      </c>
      <c r="M32" s="393">
        <v>0</v>
      </c>
      <c r="N32" s="393">
        <v>0</v>
      </c>
      <c r="O32" s="394">
        <v>0</v>
      </c>
      <c r="P32" s="37"/>
    </row>
    <row r="33" spans="1:16" x14ac:dyDescent="0.15">
      <c r="A33" s="37"/>
      <c r="B33" s="488"/>
      <c r="C33" s="446" t="str">
        <f t="shared" si="0"/>
        <v>Customer Segment 3 (CS3)</v>
      </c>
      <c r="D33" s="447"/>
      <c r="E33" s="393">
        <v>0</v>
      </c>
      <c r="F33" s="393">
        <v>0</v>
      </c>
      <c r="G33" s="393">
        <v>0</v>
      </c>
      <c r="H33" s="393">
        <v>0</v>
      </c>
      <c r="I33" s="393">
        <v>0</v>
      </c>
      <c r="J33" s="393">
        <v>0</v>
      </c>
      <c r="K33" s="393">
        <v>0</v>
      </c>
      <c r="L33" s="393">
        <v>0</v>
      </c>
      <c r="M33" s="393">
        <v>0</v>
      </c>
      <c r="N33" s="393">
        <v>0</v>
      </c>
      <c r="O33" s="394">
        <v>0</v>
      </c>
      <c r="P33" s="37"/>
    </row>
    <row r="34" spans="1:16" x14ac:dyDescent="0.15">
      <c r="A34" s="37"/>
      <c r="B34" s="488"/>
      <c r="C34" s="446" t="str">
        <f t="shared" si="0"/>
        <v>Customer Segment 4 (CS4)</v>
      </c>
      <c r="D34" s="447"/>
      <c r="E34" s="393">
        <v>0</v>
      </c>
      <c r="F34" s="393">
        <v>0</v>
      </c>
      <c r="G34" s="393">
        <v>0</v>
      </c>
      <c r="H34" s="393">
        <v>0</v>
      </c>
      <c r="I34" s="393">
        <v>0</v>
      </c>
      <c r="J34" s="393">
        <v>0</v>
      </c>
      <c r="K34" s="393">
        <v>0</v>
      </c>
      <c r="L34" s="393">
        <v>0</v>
      </c>
      <c r="M34" s="393">
        <v>0</v>
      </c>
      <c r="N34" s="393">
        <v>0</v>
      </c>
      <c r="O34" s="394">
        <v>0</v>
      </c>
      <c r="P34" s="37"/>
    </row>
    <row r="35" spans="1:16" x14ac:dyDescent="0.15">
      <c r="A35" s="37"/>
      <c r="B35" s="488"/>
      <c r="C35" s="446" t="str">
        <f t="shared" si="0"/>
        <v>Customer Segment 5 (CS5)</v>
      </c>
      <c r="D35" s="447"/>
      <c r="E35" s="393">
        <v>0</v>
      </c>
      <c r="F35" s="393">
        <v>0</v>
      </c>
      <c r="G35" s="393">
        <v>0</v>
      </c>
      <c r="H35" s="393">
        <v>0</v>
      </c>
      <c r="I35" s="393">
        <v>0</v>
      </c>
      <c r="J35" s="393">
        <v>0</v>
      </c>
      <c r="K35" s="393">
        <v>0</v>
      </c>
      <c r="L35" s="393">
        <v>0</v>
      </c>
      <c r="M35" s="393">
        <v>0</v>
      </c>
      <c r="N35" s="393">
        <v>0</v>
      </c>
      <c r="O35" s="394">
        <v>0</v>
      </c>
      <c r="P35" s="37"/>
    </row>
    <row r="36" spans="1:16" x14ac:dyDescent="0.15">
      <c r="A36" s="37"/>
      <c r="B36" s="488"/>
      <c r="C36" s="446" t="str">
        <f t="shared" si="0"/>
        <v>Customer Segment 6 (CS6)</v>
      </c>
      <c r="D36" s="447"/>
      <c r="E36" s="393">
        <v>0</v>
      </c>
      <c r="F36" s="393">
        <v>0</v>
      </c>
      <c r="G36" s="393">
        <v>0</v>
      </c>
      <c r="H36" s="393">
        <v>0</v>
      </c>
      <c r="I36" s="393">
        <v>0</v>
      </c>
      <c r="J36" s="393">
        <v>0</v>
      </c>
      <c r="K36" s="393">
        <v>0</v>
      </c>
      <c r="L36" s="393">
        <v>0</v>
      </c>
      <c r="M36" s="393">
        <v>0</v>
      </c>
      <c r="N36" s="393">
        <v>0</v>
      </c>
      <c r="O36" s="394">
        <v>0</v>
      </c>
      <c r="P36" s="37"/>
    </row>
    <row r="37" spans="1:16" ht="14" thickBot="1" x14ac:dyDescent="0.2">
      <c r="A37" s="37"/>
      <c r="B37" s="489"/>
      <c r="C37" s="490" t="str">
        <f t="shared" si="0"/>
        <v>Customer Segment 7 (CS7)</v>
      </c>
      <c r="D37" s="491"/>
      <c r="E37" s="395">
        <v>0</v>
      </c>
      <c r="F37" s="395">
        <v>0</v>
      </c>
      <c r="G37" s="395">
        <v>0</v>
      </c>
      <c r="H37" s="395">
        <v>0</v>
      </c>
      <c r="I37" s="395">
        <v>0</v>
      </c>
      <c r="J37" s="395">
        <v>0</v>
      </c>
      <c r="K37" s="395">
        <v>0</v>
      </c>
      <c r="L37" s="395">
        <v>0</v>
      </c>
      <c r="M37" s="395">
        <v>0</v>
      </c>
      <c r="N37" s="395">
        <v>0</v>
      </c>
      <c r="O37" s="396">
        <v>0</v>
      </c>
      <c r="P37" s="37"/>
    </row>
    <row r="38" spans="1:16" ht="12.75" customHeight="1" x14ac:dyDescent="0.15">
      <c r="A38" s="37"/>
      <c r="B38" s="37"/>
      <c r="C38" s="37"/>
      <c r="D38" s="37"/>
      <c r="E38" s="37"/>
      <c r="F38" s="37"/>
      <c r="G38" s="37"/>
      <c r="H38" s="37"/>
      <c r="I38" s="37"/>
      <c r="J38" s="37"/>
      <c r="K38" s="37"/>
      <c r="L38" s="37"/>
      <c r="M38" s="37"/>
      <c r="N38" s="37"/>
      <c r="O38" s="37"/>
      <c r="P38" s="37"/>
    </row>
    <row r="39" spans="1:16" ht="12.75" customHeight="1" x14ac:dyDescent="0.15">
      <c r="A39" s="37"/>
      <c r="B39" s="37"/>
      <c r="C39" s="37"/>
      <c r="D39" s="37"/>
      <c r="E39" s="37"/>
      <c r="F39" s="37"/>
      <c r="G39" s="37"/>
      <c r="H39" s="37"/>
      <c r="I39" s="37"/>
      <c r="J39" s="37"/>
      <c r="K39" s="37"/>
      <c r="L39" s="37"/>
      <c r="M39" s="37"/>
      <c r="N39" s="37"/>
      <c r="O39" s="37"/>
      <c r="P39" s="37"/>
    </row>
    <row r="40" spans="1:16" ht="14" thickBot="1" x14ac:dyDescent="0.2">
      <c r="A40" s="37"/>
      <c r="B40" s="37"/>
      <c r="C40" s="2" t="s">
        <v>140</v>
      </c>
      <c r="D40" s="37"/>
      <c r="E40" s="37"/>
      <c r="F40" s="37"/>
      <c r="G40" s="37"/>
      <c r="H40" s="37"/>
      <c r="I40" s="37"/>
      <c r="J40" s="37"/>
      <c r="K40" s="37"/>
      <c r="L40" s="37"/>
      <c r="M40" s="37"/>
      <c r="N40" s="37"/>
      <c r="O40" s="37"/>
      <c r="P40" s="37"/>
    </row>
    <row r="41" spans="1:16" ht="12.75" customHeight="1" x14ac:dyDescent="0.15">
      <c r="A41" s="37"/>
      <c r="B41" s="475" t="s">
        <v>25</v>
      </c>
      <c r="C41" s="460" t="s">
        <v>34</v>
      </c>
      <c r="D41" s="461"/>
      <c r="E41" s="26">
        <f>+G11</f>
        <v>45292</v>
      </c>
      <c r="F41" s="91" t="s">
        <v>116</v>
      </c>
      <c r="G41" s="89"/>
      <c r="H41" s="89"/>
      <c r="I41" s="89"/>
      <c r="J41" s="89"/>
      <c r="K41" s="89"/>
      <c r="L41" s="89"/>
      <c r="M41" s="89"/>
      <c r="N41" s="89"/>
      <c r="O41" s="90"/>
      <c r="P41" s="37"/>
    </row>
    <row r="42" spans="1:16" ht="12.75" customHeight="1" thickBot="1" x14ac:dyDescent="0.2">
      <c r="A42" s="37"/>
      <c r="B42" s="476"/>
      <c r="C42" s="462"/>
      <c r="D42" s="463"/>
      <c r="E42" s="397">
        <v>0</v>
      </c>
      <c r="F42" s="397">
        <v>1</v>
      </c>
      <c r="G42" s="397">
        <v>2</v>
      </c>
      <c r="H42" s="397">
        <v>3</v>
      </c>
      <c r="I42" s="397">
        <v>4</v>
      </c>
      <c r="J42" s="397">
        <v>5</v>
      </c>
      <c r="K42" s="397">
        <v>6</v>
      </c>
      <c r="L42" s="397">
        <v>7</v>
      </c>
      <c r="M42" s="397">
        <v>8</v>
      </c>
      <c r="N42" s="397">
        <v>9</v>
      </c>
      <c r="O42" s="398">
        <v>10</v>
      </c>
      <c r="P42" s="37"/>
    </row>
    <row r="43" spans="1:16" x14ac:dyDescent="0.15">
      <c r="A43" s="37"/>
      <c r="B43" s="476"/>
      <c r="C43" s="464" t="s">
        <v>114</v>
      </c>
      <c r="D43" s="465"/>
      <c r="E43" s="414">
        <v>60000</v>
      </c>
      <c r="F43" s="414">
        <v>60000</v>
      </c>
      <c r="G43" s="414">
        <v>60000</v>
      </c>
      <c r="H43" s="414">
        <v>70000</v>
      </c>
      <c r="I43" s="414">
        <v>70000</v>
      </c>
      <c r="J43" s="414">
        <v>70000</v>
      </c>
      <c r="K43" s="414">
        <v>75000</v>
      </c>
      <c r="L43" s="414">
        <v>75000</v>
      </c>
      <c r="M43" s="414">
        <v>75000</v>
      </c>
      <c r="N43" s="414">
        <v>70000</v>
      </c>
      <c r="O43" s="415">
        <v>70000</v>
      </c>
      <c r="P43" s="37"/>
    </row>
    <row r="44" spans="1:16" x14ac:dyDescent="0.15">
      <c r="A44" s="37"/>
      <c r="B44" s="476"/>
      <c r="C44" s="457" t="s">
        <v>112</v>
      </c>
      <c r="D44" s="447"/>
      <c r="E44" s="416">
        <v>45000</v>
      </c>
      <c r="F44" s="416">
        <v>45000</v>
      </c>
      <c r="G44" s="416">
        <v>45000</v>
      </c>
      <c r="H44" s="416">
        <v>55000</v>
      </c>
      <c r="I44" s="416">
        <v>55000</v>
      </c>
      <c r="J44" s="416">
        <v>55000</v>
      </c>
      <c r="K44" s="416">
        <v>60000</v>
      </c>
      <c r="L44" s="416">
        <v>60000</v>
      </c>
      <c r="M44" s="416">
        <v>60000</v>
      </c>
      <c r="N44" s="416">
        <v>55000</v>
      </c>
      <c r="O44" s="417">
        <v>55000</v>
      </c>
      <c r="P44" s="37"/>
    </row>
    <row r="45" spans="1:16" x14ac:dyDescent="0.15">
      <c r="A45" s="37"/>
      <c r="B45" s="476"/>
      <c r="C45" s="457" t="s">
        <v>113</v>
      </c>
      <c r="D45" s="447"/>
      <c r="E45" s="416">
        <v>35000</v>
      </c>
      <c r="F45" s="416">
        <v>35000</v>
      </c>
      <c r="G45" s="416">
        <v>35000</v>
      </c>
      <c r="H45" s="416">
        <v>45000</v>
      </c>
      <c r="I45" s="416">
        <v>45000</v>
      </c>
      <c r="J45" s="416">
        <v>45000</v>
      </c>
      <c r="K45" s="416">
        <v>50000</v>
      </c>
      <c r="L45" s="416">
        <v>50000</v>
      </c>
      <c r="M45" s="416">
        <v>50000</v>
      </c>
      <c r="N45" s="416">
        <v>45000</v>
      </c>
      <c r="O45" s="417">
        <v>45000</v>
      </c>
      <c r="P45" s="37"/>
    </row>
    <row r="46" spans="1:16" x14ac:dyDescent="0.15">
      <c r="A46" s="37"/>
      <c r="B46" s="476"/>
      <c r="C46" s="458" t="s">
        <v>145</v>
      </c>
      <c r="D46" s="459"/>
      <c r="E46" s="416">
        <v>0</v>
      </c>
      <c r="F46" s="416">
        <v>0</v>
      </c>
      <c r="G46" s="416">
        <v>0</v>
      </c>
      <c r="H46" s="416">
        <v>0</v>
      </c>
      <c r="I46" s="416">
        <v>0</v>
      </c>
      <c r="J46" s="416">
        <v>0</v>
      </c>
      <c r="K46" s="416">
        <v>0</v>
      </c>
      <c r="L46" s="416">
        <v>0</v>
      </c>
      <c r="M46" s="416">
        <v>0</v>
      </c>
      <c r="N46" s="416">
        <v>0</v>
      </c>
      <c r="O46" s="417">
        <v>0</v>
      </c>
      <c r="P46" s="37"/>
    </row>
    <row r="47" spans="1:16" x14ac:dyDescent="0.15">
      <c r="A47" s="37"/>
      <c r="B47" s="476"/>
      <c r="C47" s="458" t="s">
        <v>146</v>
      </c>
      <c r="D47" s="459"/>
      <c r="E47" s="416">
        <v>0</v>
      </c>
      <c r="F47" s="416">
        <v>0</v>
      </c>
      <c r="G47" s="416">
        <v>0</v>
      </c>
      <c r="H47" s="416">
        <v>0</v>
      </c>
      <c r="I47" s="416">
        <v>0</v>
      </c>
      <c r="J47" s="416">
        <v>0</v>
      </c>
      <c r="K47" s="416">
        <v>0</v>
      </c>
      <c r="L47" s="416">
        <v>0</v>
      </c>
      <c r="M47" s="416">
        <v>0</v>
      </c>
      <c r="N47" s="416">
        <v>0</v>
      </c>
      <c r="O47" s="417">
        <v>0</v>
      </c>
      <c r="P47" s="37"/>
    </row>
    <row r="48" spans="1:16" ht="14" thickBot="1" x14ac:dyDescent="0.2">
      <c r="A48" s="37"/>
      <c r="B48" s="477"/>
      <c r="C48" s="481" t="s">
        <v>147</v>
      </c>
      <c r="D48" s="482"/>
      <c r="E48" s="418">
        <v>0</v>
      </c>
      <c r="F48" s="418">
        <v>0</v>
      </c>
      <c r="G48" s="418">
        <v>0</v>
      </c>
      <c r="H48" s="418">
        <v>0</v>
      </c>
      <c r="I48" s="418">
        <v>0</v>
      </c>
      <c r="J48" s="418">
        <v>0</v>
      </c>
      <c r="K48" s="418">
        <v>0</v>
      </c>
      <c r="L48" s="418">
        <v>0</v>
      </c>
      <c r="M48" s="418">
        <v>0</v>
      </c>
      <c r="N48" s="418">
        <v>0</v>
      </c>
      <c r="O48" s="419">
        <v>0</v>
      </c>
      <c r="P48" s="37"/>
    </row>
    <row r="49" spans="1:16" x14ac:dyDescent="0.15">
      <c r="A49" s="37"/>
      <c r="B49" s="37"/>
      <c r="C49" s="19"/>
      <c r="D49" s="37"/>
      <c r="E49" s="37"/>
      <c r="F49" s="37"/>
      <c r="G49" s="37"/>
      <c r="H49" s="37"/>
      <c r="I49" s="37"/>
      <c r="J49" s="37"/>
      <c r="K49" s="37"/>
      <c r="L49" s="37"/>
      <c r="M49" s="37"/>
      <c r="N49" s="37"/>
      <c r="O49" s="37"/>
      <c r="P49" s="37"/>
    </row>
    <row r="50" spans="1:16" x14ac:dyDescent="0.15">
      <c r="A50" s="37"/>
      <c r="B50" s="37"/>
      <c r="C50" s="19"/>
      <c r="D50" s="37"/>
      <c r="E50" s="37"/>
      <c r="F50" s="37"/>
      <c r="G50" s="37"/>
      <c r="H50" s="37"/>
      <c r="I50" s="37"/>
      <c r="J50" s="37"/>
      <c r="K50" s="37"/>
      <c r="L50" s="37"/>
      <c r="M50" s="37"/>
      <c r="N50" s="37"/>
      <c r="O50" s="37"/>
      <c r="P50" s="37"/>
    </row>
    <row r="51" spans="1:16" ht="14" thickBot="1" x14ac:dyDescent="0.2">
      <c r="A51" s="37"/>
      <c r="B51" s="37"/>
      <c r="C51" s="2" t="s">
        <v>141</v>
      </c>
      <c r="D51" s="37"/>
      <c r="E51" s="37"/>
      <c r="F51" s="37"/>
      <c r="G51" s="37"/>
      <c r="H51" s="37"/>
      <c r="I51" s="37"/>
      <c r="J51" s="37"/>
      <c r="K51" s="37"/>
      <c r="L51" s="37"/>
      <c r="M51" s="37"/>
      <c r="N51" s="37"/>
      <c r="O51" s="37"/>
      <c r="P51" s="37"/>
    </row>
    <row r="52" spans="1:16" ht="12.75" customHeight="1" x14ac:dyDescent="0.15">
      <c r="A52" s="37"/>
      <c r="B52" s="478" t="s">
        <v>26</v>
      </c>
      <c r="C52" s="466" t="s">
        <v>35</v>
      </c>
      <c r="D52" s="467"/>
      <c r="E52" s="27">
        <f>+$G$11</f>
        <v>45292</v>
      </c>
      <c r="F52" s="91" t="s">
        <v>116</v>
      </c>
      <c r="G52" s="89"/>
      <c r="H52" s="89"/>
      <c r="I52" s="89"/>
      <c r="J52" s="89"/>
      <c r="K52" s="89"/>
      <c r="L52" s="89"/>
      <c r="M52" s="89"/>
      <c r="N52" s="89"/>
      <c r="O52" s="92"/>
      <c r="P52" s="37"/>
    </row>
    <row r="53" spans="1:16" ht="12.75" customHeight="1" thickBot="1" x14ac:dyDescent="0.2">
      <c r="A53" s="37"/>
      <c r="B53" s="479"/>
      <c r="C53" s="468"/>
      <c r="D53" s="469"/>
      <c r="E53" s="397">
        <v>0</v>
      </c>
      <c r="F53" s="397">
        <v>1</v>
      </c>
      <c r="G53" s="397">
        <v>2</v>
      </c>
      <c r="H53" s="397">
        <v>3</v>
      </c>
      <c r="I53" s="397">
        <v>4</v>
      </c>
      <c r="J53" s="397">
        <v>5</v>
      </c>
      <c r="K53" s="397">
        <v>6</v>
      </c>
      <c r="L53" s="397">
        <v>7</v>
      </c>
      <c r="M53" s="397">
        <v>8</v>
      </c>
      <c r="N53" s="397">
        <v>9</v>
      </c>
      <c r="O53" s="398">
        <v>10</v>
      </c>
      <c r="P53" s="37"/>
    </row>
    <row r="54" spans="1:16" ht="12.75" customHeight="1" x14ac:dyDescent="0.15">
      <c r="A54" s="37"/>
      <c r="B54" s="479"/>
      <c r="C54" s="464" t="s">
        <v>162</v>
      </c>
      <c r="D54" s="474"/>
      <c r="E54" s="80">
        <v>5</v>
      </c>
      <c r="F54" s="399"/>
      <c r="G54" s="399"/>
      <c r="H54" s="399"/>
      <c r="I54" s="399"/>
      <c r="J54" s="399"/>
      <c r="K54" s="399"/>
      <c r="L54" s="399"/>
      <c r="M54" s="399"/>
      <c r="N54" s="399"/>
      <c r="O54" s="400"/>
      <c r="P54" s="37"/>
    </row>
    <row r="55" spans="1:16" x14ac:dyDescent="0.15">
      <c r="A55" s="37"/>
      <c r="B55" s="479"/>
      <c r="C55" s="470" t="s">
        <v>13</v>
      </c>
      <c r="D55" s="471"/>
      <c r="E55" s="420">
        <v>0</v>
      </c>
      <c r="F55" s="420">
        <v>20000</v>
      </c>
      <c r="G55" s="420">
        <v>0</v>
      </c>
      <c r="H55" s="420">
        <v>0</v>
      </c>
      <c r="I55" s="420">
        <v>0</v>
      </c>
      <c r="J55" s="420">
        <v>0</v>
      </c>
      <c r="K55" s="420">
        <v>0</v>
      </c>
      <c r="L55" s="420">
        <v>0</v>
      </c>
      <c r="M55" s="420">
        <v>0</v>
      </c>
      <c r="N55" s="420">
        <v>0</v>
      </c>
      <c r="O55" s="421">
        <v>0</v>
      </c>
      <c r="P55" s="37"/>
    </row>
    <row r="56" spans="1:16" ht="14" thickBot="1" x14ac:dyDescent="0.2">
      <c r="A56" s="37"/>
      <c r="B56" s="479"/>
      <c r="C56" s="472" t="s">
        <v>14</v>
      </c>
      <c r="D56" s="473"/>
      <c r="E56" s="422">
        <v>0</v>
      </c>
      <c r="F56" s="422">
        <v>0</v>
      </c>
      <c r="G56" s="422">
        <v>0</v>
      </c>
      <c r="H56" s="422">
        <v>0</v>
      </c>
      <c r="I56" s="422">
        <v>0</v>
      </c>
      <c r="J56" s="422">
        <v>0</v>
      </c>
      <c r="K56" s="422">
        <v>0</v>
      </c>
      <c r="L56" s="422">
        <v>0</v>
      </c>
      <c r="M56" s="422">
        <v>0</v>
      </c>
      <c r="N56" s="422">
        <v>0</v>
      </c>
      <c r="O56" s="423">
        <v>0</v>
      </c>
      <c r="P56" s="37"/>
    </row>
    <row r="57" spans="1:16" x14ac:dyDescent="0.15">
      <c r="A57" s="37"/>
      <c r="B57" s="479"/>
      <c r="C57" s="457" t="s">
        <v>162</v>
      </c>
      <c r="D57" s="447"/>
      <c r="E57" s="79">
        <v>7</v>
      </c>
      <c r="F57" s="401"/>
      <c r="G57" s="401"/>
      <c r="H57" s="401"/>
      <c r="I57" s="401"/>
      <c r="J57" s="401"/>
      <c r="K57" s="401"/>
      <c r="L57" s="401"/>
      <c r="M57" s="401"/>
      <c r="N57" s="401"/>
      <c r="O57" s="402"/>
      <c r="P57" s="37"/>
    </row>
    <row r="58" spans="1:16" x14ac:dyDescent="0.15">
      <c r="A58" s="37"/>
      <c r="B58" s="479"/>
      <c r="C58" s="470" t="s">
        <v>15</v>
      </c>
      <c r="D58" s="471"/>
      <c r="E58" s="420">
        <v>0</v>
      </c>
      <c r="F58" s="420">
        <v>0</v>
      </c>
      <c r="G58" s="420">
        <v>0</v>
      </c>
      <c r="H58" s="420">
        <v>0</v>
      </c>
      <c r="I58" s="420">
        <v>0</v>
      </c>
      <c r="J58" s="420">
        <v>0</v>
      </c>
      <c r="K58" s="420">
        <v>0</v>
      </c>
      <c r="L58" s="420">
        <v>0</v>
      </c>
      <c r="M58" s="420">
        <v>0</v>
      </c>
      <c r="N58" s="420">
        <v>0</v>
      </c>
      <c r="O58" s="421">
        <v>0</v>
      </c>
      <c r="P58" s="37"/>
    </row>
    <row r="59" spans="1:16" ht="14" thickBot="1" x14ac:dyDescent="0.2">
      <c r="A59" s="37"/>
      <c r="B59" s="480"/>
      <c r="C59" s="472" t="s">
        <v>24</v>
      </c>
      <c r="D59" s="473"/>
      <c r="E59" s="422">
        <v>0</v>
      </c>
      <c r="F59" s="422">
        <v>0</v>
      </c>
      <c r="G59" s="422">
        <v>0</v>
      </c>
      <c r="H59" s="422">
        <v>0</v>
      </c>
      <c r="I59" s="422">
        <v>0</v>
      </c>
      <c r="J59" s="422">
        <v>0</v>
      </c>
      <c r="K59" s="422">
        <v>0</v>
      </c>
      <c r="L59" s="422">
        <v>0</v>
      </c>
      <c r="M59" s="422">
        <v>0</v>
      </c>
      <c r="N59" s="422">
        <v>0</v>
      </c>
      <c r="O59" s="423">
        <v>0</v>
      </c>
      <c r="P59" s="37"/>
    </row>
    <row r="60" spans="1:16" x14ac:dyDescent="0.15">
      <c r="A60" s="37"/>
      <c r="B60" s="37"/>
      <c r="C60" s="37"/>
      <c r="D60" s="37"/>
      <c r="E60" s="37"/>
      <c r="F60" s="37"/>
      <c r="G60" s="37"/>
      <c r="H60" s="37"/>
      <c r="I60" s="37"/>
      <c r="J60" s="37"/>
      <c r="K60" s="37"/>
      <c r="L60" s="37"/>
      <c r="M60" s="37"/>
      <c r="N60" s="37"/>
      <c r="O60" s="37"/>
      <c r="P60" s="37"/>
    </row>
    <row r="61" spans="1:16" x14ac:dyDescent="0.15">
      <c r="A61" s="37"/>
      <c r="B61" s="37"/>
      <c r="C61" s="37"/>
      <c r="D61" s="37"/>
      <c r="E61" s="37"/>
      <c r="F61" s="37"/>
      <c r="G61" s="37"/>
      <c r="H61" s="37"/>
      <c r="I61" s="37"/>
      <c r="J61" s="37"/>
      <c r="K61" s="37"/>
      <c r="L61" s="37"/>
      <c r="M61" s="37"/>
      <c r="N61" s="37"/>
      <c r="O61" s="37"/>
      <c r="P61" s="37"/>
    </row>
    <row r="62" spans="1:16" x14ac:dyDescent="0.15">
      <c r="A62" s="37"/>
      <c r="B62" s="37"/>
      <c r="C62" s="2" t="s">
        <v>142</v>
      </c>
      <c r="D62" s="37"/>
      <c r="E62" s="37"/>
      <c r="F62" s="37"/>
      <c r="G62" s="37"/>
      <c r="H62" s="37"/>
      <c r="I62" s="37"/>
      <c r="J62" s="37"/>
      <c r="K62" s="37"/>
      <c r="L62" s="37"/>
      <c r="M62" s="37"/>
      <c r="N62" s="37"/>
      <c r="O62" s="37"/>
      <c r="P62" s="37"/>
    </row>
    <row r="63" spans="1:16" x14ac:dyDescent="0.15">
      <c r="A63" s="37"/>
      <c r="B63" s="37"/>
      <c r="C63" s="77" t="s">
        <v>110</v>
      </c>
      <c r="D63" s="403">
        <v>0.1</v>
      </c>
      <c r="E63" s="37"/>
      <c r="F63" s="37"/>
      <c r="G63" s="37"/>
      <c r="H63" s="37"/>
      <c r="I63" s="37"/>
      <c r="J63" s="37"/>
      <c r="K63" s="37"/>
      <c r="L63" s="37"/>
      <c r="M63" s="37"/>
      <c r="N63" s="37"/>
      <c r="O63" s="37"/>
      <c r="P63" s="37"/>
    </row>
    <row r="64" spans="1:16" x14ac:dyDescent="0.15">
      <c r="A64" s="37"/>
      <c r="B64" s="37"/>
      <c r="C64" s="77" t="s">
        <v>111</v>
      </c>
      <c r="D64" s="403">
        <v>0.25</v>
      </c>
      <c r="E64" s="37"/>
      <c r="F64" s="37"/>
      <c r="G64" s="37"/>
      <c r="H64" s="37"/>
      <c r="I64" s="37"/>
      <c r="J64" s="37"/>
      <c r="K64" s="37"/>
      <c r="L64" s="37"/>
      <c r="M64" s="37"/>
      <c r="N64" s="37"/>
      <c r="O64" s="37"/>
      <c r="P64" s="37"/>
    </row>
    <row r="65" spans="1:16" ht="12.75" customHeight="1" x14ac:dyDescent="0.15">
      <c r="A65" s="37"/>
      <c r="B65" s="37"/>
      <c r="C65" s="43"/>
      <c r="D65" s="37"/>
      <c r="E65" s="37"/>
      <c r="F65" s="37"/>
      <c r="G65" s="37"/>
      <c r="H65" s="37"/>
      <c r="I65" s="37"/>
      <c r="J65" s="37"/>
      <c r="K65" s="37"/>
      <c r="L65" s="37"/>
      <c r="M65" s="37"/>
      <c r="N65" s="37"/>
      <c r="O65" s="37"/>
      <c r="P65" s="37"/>
    </row>
    <row r="75" spans="1:16" x14ac:dyDescent="0.15">
      <c r="B75" s="12"/>
      <c r="C75" s="13"/>
      <c r="D75" s="14"/>
      <c r="E75" s="14"/>
    </row>
  </sheetData>
  <sheetProtection sheet="1" objects="1" scenarios="1"/>
  <mergeCells count="35">
    <mergeCell ref="B41:B48"/>
    <mergeCell ref="B52:B59"/>
    <mergeCell ref="C48:D48"/>
    <mergeCell ref="C45:D45"/>
    <mergeCell ref="D5:D6"/>
    <mergeCell ref="C15:C16"/>
    <mergeCell ref="C36:D36"/>
    <mergeCell ref="B5:B11"/>
    <mergeCell ref="B17:B23"/>
    <mergeCell ref="C37:D37"/>
    <mergeCell ref="B29:B37"/>
    <mergeCell ref="C58:D58"/>
    <mergeCell ref="C59:D59"/>
    <mergeCell ref="C29:D30"/>
    <mergeCell ref="C31:D31"/>
    <mergeCell ref="C32:D32"/>
    <mergeCell ref="C57:D57"/>
    <mergeCell ref="C47:D47"/>
    <mergeCell ref="C41:D42"/>
    <mergeCell ref="C43:D43"/>
    <mergeCell ref="C44:D44"/>
    <mergeCell ref="C52:D53"/>
    <mergeCell ref="C55:D55"/>
    <mergeCell ref="C56:D56"/>
    <mergeCell ref="C54:D54"/>
    <mergeCell ref="C46:D46"/>
    <mergeCell ref="C35:D35"/>
    <mergeCell ref="C33:D33"/>
    <mergeCell ref="C34:D34"/>
    <mergeCell ref="C2:O2"/>
    <mergeCell ref="G15:G16"/>
    <mergeCell ref="C5:C6"/>
    <mergeCell ref="D15:D16"/>
    <mergeCell ref="E15:E16"/>
    <mergeCell ref="F15:F16"/>
  </mergeCells>
  <conditionalFormatting sqref="O29:O59">
    <cfRule type="expression" dxfId="75" priority="21">
      <formula>$O$30&gt;(YEAR($H$11) - YEAR($G$11))</formula>
    </cfRule>
  </conditionalFormatting>
  <conditionalFormatting sqref="N29:N59">
    <cfRule type="expression" dxfId="74" priority="20">
      <formula>$N$30&gt;(YEAR($H$11) - YEAR($G$11))</formula>
    </cfRule>
  </conditionalFormatting>
  <conditionalFormatting sqref="M29:M59">
    <cfRule type="expression" dxfId="73" priority="19">
      <formula>$M$30&gt;(YEAR($H$11) - YEAR($G$11))</formula>
    </cfRule>
  </conditionalFormatting>
  <conditionalFormatting sqref="L29:L59">
    <cfRule type="expression" dxfId="72" priority="18">
      <formula>$L$30&gt;(YEAR($H$11) - YEAR($G$11))</formula>
    </cfRule>
  </conditionalFormatting>
  <conditionalFormatting sqref="K29:K59">
    <cfRule type="expression" dxfId="71" priority="17">
      <formula>$K$30&gt;(YEAR($H$11) - YEAR($G$11))</formula>
    </cfRule>
  </conditionalFormatting>
  <conditionalFormatting sqref="J29:J59">
    <cfRule type="expression" dxfId="70" priority="16">
      <formula>$J$30&gt;(YEAR($H$11) - YEAR($G$11))</formula>
    </cfRule>
  </conditionalFormatting>
  <conditionalFormatting sqref="I29:I59">
    <cfRule type="expression" dxfId="69" priority="15">
      <formula>$I$30&gt;(YEAR($H$11) - YEAR($G$11))</formula>
    </cfRule>
  </conditionalFormatting>
  <conditionalFormatting sqref="H29:H59">
    <cfRule type="expression" dxfId="68" priority="14">
      <formula>$H$30&gt;(YEAR($H$11) - YEAR($G$11))</formula>
    </cfRule>
  </conditionalFormatting>
  <conditionalFormatting sqref="G29:G59">
    <cfRule type="expression" dxfId="67" priority="13">
      <formula>$G$30&gt;(YEAR($H$11) - YEAR($G$11))</formula>
    </cfRule>
  </conditionalFormatting>
  <conditionalFormatting sqref="F29:F59">
    <cfRule type="expression" dxfId="66" priority="12">
      <formula>$F$30&gt;(YEAR($H$11) - YEAR($G$11))</formula>
    </cfRule>
  </conditionalFormatting>
  <conditionalFormatting sqref="E29:E59">
    <cfRule type="expression" dxfId="65" priority="11">
      <formula>$E$30&gt;(YEAR($H$11) - YEAR($G$11))</formula>
    </cfRule>
  </conditionalFormatting>
  <conditionalFormatting sqref="E7:H7">
    <cfRule type="expression" dxfId="64" priority="10">
      <formula>($D$7="N/A")</formula>
    </cfRule>
  </conditionalFormatting>
  <conditionalFormatting sqref="E8:H8">
    <cfRule type="expression" dxfId="63" priority="8">
      <formula>($D$8="N/A")</formula>
    </cfRule>
  </conditionalFormatting>
  <conditionalFormatting sqref="E9:H9">
    <cfRule type="expression" dxfId="62" priority="7">
      <formula>($D$9="N/A")</formula>
    </cfRule>
  </conditionalFormatting>
  <conditionalFormatting sqref="E10:H10">
    <cfRule type="expression" dxfId="61" priority="5">
      <formula>($D$10="N/A")</formula>
    </cfRule>
  </conditionalFormatting>
  <conditionalFormatting sqref="F7">
    <cfRule type="expression" dxfId="60" priority="4">
      <formula>($D$7="NO")</formula>
    </cfRule>
  </conditionalFormatting>
  <conditionalFormatting sqref="F8">
    <cfRule type="expression" dxfId="59" priority="3">
      <formula>($D$8="NO")</formula>
    </cfRule>
  </conditionalFormatting>
  <conditionalFormatting sqref="F9">
    <cfRule type="expression" dxfId="58" priority="2">
      <formula>($D$9="NO")</formula>
    </cfRule>
  </conditionalFormatting>
  <conditionalFormatting sqref="F10">
    <cfRule type="expression" dxfId="57" priority="1">
      <formula>($D$10="NO")</formula>
    </cfRule>
  </conditionalFormatting>
  <dataValidations count="1">
    <dataValidation type="list" showInputMessage="1" showErrorMessage="1" sqref="D7:D10" xr:uid="{00000000-0002-0000-0100-000000000000}">
      <formula1>"YES,NO,N/A"</formula1>
    </dataValidation>
  </dataValidations>
  <pageMargins left="0.7" right="0.7" top="0.75" bottom="0.75" header="0.3" footer="0.3"/>
  <pageSetup orientation="portrait"/>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3" tint="0.79998168889431442"/>
  </sheetPr>
  <dimension ref="A1:AA128"/>
  <sheetViews>
    <sheetView zoomScaleNormal="100" workbookViewId="0"/>
  </sheetViews>
  <sheetFormatPr baseColWidth="10" defaultColWidth="8.83203125" defaultRowHeight="13" x14ac:dyDescent="0.15"/>
  <cols>
    <col min="1" max="1" width="2.6640625" customWidth="1"/>
    <col min="3" max="3" width="32.1640625" customWidth="1"/>
    <col min="4" max="4" width="27.5" customWidth="1"/>
    <col min="5" max="5" width="13.6640625" customWidth="1"/>
    <col min="6" max="6" width="16.33203125" customWidth="1"/>
    <col min="7" max="14" width="13.6640625" customWidth="1"/>
    <col min="15" max="25" width="13.6640625" style="1" customWidth="1"/>
    <col min="26" max="26" width="10.33203125" customWidth="1"/>
    <col min="27" max="27" width="8.83203125" customWidth="1"/>
  </cols>
  <sheetData>
    <row r="1" spans="1:27" x14ac:dyDescent="0.15">
      <c r="A1" s="37"/>
      <c r="B1" s="37"/>
      <c r="C1" s="37"/>
      <c r="D1" s="37"/>
      <c r="E1" s="37"/>
      <c r="F1" s="37"/>
      <c r="G1" s="37"/>
      <c r="H1" s="37"/>
      <c r="I1" s="37"/>
      <c r="J1" s="37"/>
      <c r="K1" s="37"/>
      <c r="L1" s="37"/>
      <c r="M1" s="37"/>
      <c r="N1" s="37"/>
      <c r="O1" s="37"/>
      <c r="P1" s="37"/>
      <c r="Q1" s="37"/>
      <c r="R1" s="37"/>
      <c r="S1" s="37"/>
      <c r="T1" s="37"/>
      <c r="U1" s="37"/>
      <c r="V1" s="37"/>
      <c r="W1" s="37"/>
      <c r="X1" s="37"/>
      <c r="Y1" s="37"/>
      <c r="Z1" s="37"/>
    </row>
    <row r="2" spans="1:27" s="9" customFormat="1" ht="19" thickBot="1" x14ac:dyDescent="0.25">
      <c r="A2" s="37"/>
      <c r="B2" s="298" t="s">
        <v>71</v>
      </c>
      <c r="C2" s="299" t="s">
        <v>72</v>
      </c>
      <c r="D2" s="299"/>
      <c r="E2" s="300"/>
      <c r="F2" s="300"/>
      <c r="G2" s="300"/>
      <c r="H2" s="301"/>
      <c r="I2" s="301"/>
      <c r="J2" s="301"/>
      <c r="K2" s="301"/>
      <c r="L2" s="301"/>
      <c r="M2" s="301"/>
      <c r="N2" s="301"/>
      <c r="O2" s="302"/>
      <c r="P2" s="302"/>
      <c r="Q2" s="302"/>
      <c r="R2" s="302"/>
      <c r="S2" s="302"/>
      <c r="T2" s="302"/>
      <c r="U2" s="302"/>
      <c r="V2" s="302"/>
      <c r="W2" s="302"/>
      <c r="X2" s="302"/>
      <c r="Y2" s="302"/>
      <c r="Z2" s="303"/>
    </row>
    <row r="3" spans="1:27" ht="14" thickBot="1" x14ac:dyDescent="0.2">
      <c r="A3" s="37"/>
      <c r="B3" s="19"/>
      <c r="C3" s="19"/>
      <c r="D3" s="19"/>
      <c r="E3" s="19"/>
      <c r="F3" s="19"/>
      <c r="G3" s="19"/>
      <c r="H3" s="19"/>
      <c r="I3" s="19"/>
      <c r="J3" s="19"/>
      <c r="K3" s="19"/>
      <c r="L3" s="19"/>
      <c r="M3" s="19"/>
      <c r="N3" s="19"/>
      <c r="O3" s="19"/>
      <c r="P3" s="19"/>
      <c r="Q3" s="19"/>
      <c r="R3" s="19"/>
      <c r="S3" s="19"/>
      <c r="T3" s="19"/>
      <c r="U3" s="19"/>
      <c r="V3" s="19"/>
      <c r="W3" s="19"/>
      <c r="X3" s="19"/>
      <c r="Y3" s="19"/>
      <c r="Z3" s="37"/>
    </row>
    <row r="4" spans="1:27" ht="12.75" customHeight="1" x14ac:dyDescent="0.15">
      <c r="A4" s="37"/>
      <c r="B4" s="304"/>
      <c r="C4" s="305" t="s">
        <v>22</v>
      </c>
      <c r="D4" s="306">
        <f>+I.InputData!D63</f>
        <v>0.1</v>
      </c>
      <c r="E4" s="37"/>
      <c r="F4" s="37"/>
      <c r="G4" s="37"/>
      <c r="H4" s="37"/>
      <c r="I4" s="37"/>
      <c r="J4" s="37"/>
      <c r="K4" s="37"/>
      <c r="L4" s="37"/>
      <c r="M4" s="37"/>
      <c r="N4" s="37"/>
      <c r="O4" s="37"/>
      <c r="P4" s="37"/>
      <c r="Q4" s="37"/>
      <c r="R4" s="37"/>
      <c r="S4" s="37"/>
      <c r="T4" s="37"/>
      <c r="U4" s="37"/>
      <c r="V4" s="37"/>
      <c r="W4" s="37"/>
      <c r="X4" s="37"/>
      <c r="Y4" s="37"/>
      <c r="Z4" s="37"/>
    </row>
    <row r="5" spans="1:27" ht="12.75" customHeight="1" thickBot="1" x14ac:dyDescent="0.2">
      <c r="A5" s="37"/>
      <c r="B5" s="307"/>
      <c r="C5" s="308" t="s">
        <v>79</v>
      </c>
      <c r="D5" s="309">
        <f>+I.InputData!D64</f>
        <v>0.25</v>
      </c>
      <c r="E5" s="310"/>
      <c r="F5" s="310"/>
      <c r="G5" s="310"/>
      <c r="H5" s="310"/>
      <c r="I5" s="310"/>
      <c r="J5" s="310"/>
      <c r="K5" s="310"/>
      <c r="L5" s="310"/>
      <c r="M5" s="310"/>
      <c r="N5" s="310"/>
      <c r="O5" s="310"/>
      <c r="P5" s="310"/>
      <c r="Q5" s="310"/>
      <c r="R5" s="310"/>
      <c r="S5" s="310"/>
      <c r="T5" s="310"/>
      <c r="U5" s="310"/>
      <c r="V5" s="310"/>
      <c r="W5" s="310"/>
      <c r="X5" s="310"/>
      <c r="Y5" s="310"/>
      <c r="Z5" s="37"/>
    </row>
    <row r="6" spans="1:27" ht="12.75" customHeight="1" x14ac:dyDescent="0.15">
      <c r="A6" s="37"/>
      <c r="B6" s="501" t="s">
        <v>2</v>
      </c>
      <c r="C6" s="311"/>
      <c r="D6" s="312" t="s">
        <v>119</v>
      </c>
      <c r="E6" s="313">
        <f>HLOOKUP(E$8,SUPPORT!$T$5:$AN$19,2,FALSE)</f>
        <v>0</v>
      </c>
      <c r="F6" s="313">
        <f>HLOOKUP(F$8,SUPPORT!$T$5:$AN$19,2,FALSE)</f>
        <v>1</v>
      </c>
      <c r="G6" s="313">
        <f>HLOOKUP(G$8,SUPPORT!$T$5:$AN$19,2,FALSE)</f>
        <v>2</v>
      </c>
      <c r="H6" s="313" t="str">
        <f>HLOOKUP(H$8,SUPPORT!$T$5:$AN$19,2,FALSE)</f>
        <v/>
      </c>
      <c r="I6" s="313" t="str">
        <f>HLOOKUP(I$8,SUPPORT!$T$5:$AN$19,2,FALSE)</f>
        <v/>
      </c>
      <c r="J6" s="313" t="str">
        <f>HLOOKUP(J$8,SUPPORT!$T$5:$AN$19,2,FALSE)</f>
        <v/>
      </c>
      <c r="K6" s="313" t="str">
        <f>HLOOKUP(K$8,SUPPORT!$T$5:$AN$19,2,FALSE)</f>
        <v/>
      </c>
      <c r="L6" s="313" t="str">
        <f>HLOOKUP(L$8,SUPPORT!$T$5:$AN$19,2,FALSE)</f>
        <v/>
      </c>
      <c r="M6" s="313" t="str">
        <f>HLOOKUP(M$8,SUPPORT!$T$5:$AN$19,2,FALSE)</f>
        <v/>
      </c>
      <c r="N6" s="313" t="str">
        <f>HLOOKUP(N$8,SUPPORT!$T$5:$AN$19,2,FALSE)</f>
        <v/>
      </c>
      <c r="O6" s="313" t="str">
        <f>HLOOKUP(O$8,SUPPORT!$T$5:$AN$19,2,FALSE)</f>
        <v/>
      </c>
      <c r="P6" s="313" t="e">
        <f>HLOOKUP(P$8,SUPPORT!$T$5:$AN$19,2,FALSE)</f>
        <v>#N/A</v>
      </c>
      <c r="Q6" s="313" t="e">
        <f>HLOOKUP(Q$8,SUPPORT!$T$5:$AN$19,2,FALSE)</f>
        <v>#N/A</v>
      </c>
      <c r="R6" s="313" t="e">
        <f>HLOOKUP(R$8,SUPPORT!$T$5:$AN$19,2,FALSE)</f>
        <v>#N/A</v>
      </c>
      <c r="S6" s="313" t="e">
        <f>HLOOKUP(S$8,SUPPORT!$T$5:$AN$19,2,FALSE)</f>
        <v>#N/A</v>
      </c>
      <c r="T6" s="313" t="e">
        <f>HLOOKUP(T$8,SUPPORT!$T$5:$AN$19,2,FALSE)</f>
        <v>#N/A</v>
      </c>
      <c r="U6" s="313" t="e">
        <f>HLOOKUP(U$8,SUPPORT!$T$5:$AN$19,2,FALSE)</f>
        <v>#N/A</v>
      </c>
      <c r="V6" s="313" t="e">
        <f>HLOOKUP(V$8,SUPPORT!$T$5:$AN$19,2,FALSE)</f>
        <v>#N/A</v>
      </c>
      <c r="W6" s="313" t="e">
        <f>HLOOKUP(W$8,SUPPORT!$T$5:$AN$19,2,FALSE)</f>
        <v>#N/A</v>
      </c>
      <c r="X6" s="313" t="e">
        <f>HLOOKUP(X$8,SUPPORT!$T$5:$AN$19,2,FALSE)</f>
        <v>#N/A</v>
      </c>
      <c r="Y6" s="314" t="e">
        <f>HLOOKUP(Y$8,SUPPORT!$T$5:$AN$19,2,FALSE)</f>
        <v>#N/A</v>
      </c>
      <c r="Z6" s="37"/>
    </row>
    <row r="7" spans="1:27" ht="12.75" customHeight="1" x14ac:dyDescent="0.15">
      <c r="A7" s="37"/>
      <c r="B7" s="502"/>
      <c r="C7" s="315"/>
      <c r="D7" s="312" t="s">
        <v>120</v>
      </c>
      <c r="E7" s="316" t="str">
        <f>HLOOKUP(E$8,SUPPORT!$T$5:$AN$19,3,FALSE)</f>
        <v/>
      </c>
      <c r="F7" s="316" t="str">
        <f>HLOOKUP(F$8,SUPPORT!$T$5:$AN$19,3,FALSE)</f>
        <v/>
      </c>
      <c r="G7" s="316">
        <f>HLOOKUP(G$8,SUPPORT!$T$5:$AN$19,3,FALSE)</f>
        <v>0</v>
      </c>
      <c r="H7" s="316">
        <f>HLOOKUP(H$8,SUPPORT!$T$5:$AN$19,3,FALSE)</f>
        <v>1</v>
      </c>
      <c r="I7" s="316">
        <f>HLOOKUP(I$8,SUPPORT!$T$5:$AN$19,3,FALSE)</f>
        <v>2</v>
      </c>
      <c r="J7" s="316">
        <f>HLOOKUP(J$8,SUPPORT!$T$5:$AN$19,3,FALSE)</f>
        <v>3</v>
      </c>
      <c r="K7" s="316">
        <f>HLOOKUP(K$8,SUPPORT!$T$5:$AN$19,3,FALSE)</f>
        <v>4</v>
      </c>
      <c r="L7" s="316">
        <f>HLOOKUP(L$8,SUPPORT!$T$5:$AN$19,3,FALSE)</f>
        <v>5</v>
      </c>
      <c r="M7" s="316">
        <f>HLOOKUP(M$8,SUPPORT!$T$5:$AN$19,3,FALSE)</f>
        <v>6</v>
      </c>
      <c r="N7" s="316">
        <f>HLOOKUP(N$8,SUPPORT!$T$5:$AN$19,3,FALSE)</f>
        <v>7</v>
      </c>
      <c r="O7" s="316">
        <f>HLOOKUP(O$8,SUPPORT!$T$5:$AN$19,3,FALSE)</f>
        <v>8</v>
      </c>
      <c r="P7" s="316" t="e">
        <f>HLOOKUP(P$8,SUPPORT!$T$5:$AN$19,3,FALSE)</f>
        <v>#N/A</v>
      </c>
      <c r="Q7" s="316" t="e">
        <f>HLOOKUP(Q$8,SUPPORT!$T$5:$AN$19,3,FALSE)</f>
        <v>#N/A</v>
      </c>
      <c r="R7" s="316" t="e">
        <f>HLOOKUP(R$8,SUPPORT!$T$5:$AN$19,3,FALSE)</f>
        <v>#N/A</v>
      </c>
      <c r="S7" s="316" t="e">
        <f>HLOOKUP(S$8,SUPPORT!$T$5:$AN$19,3,FALSE)</f>
        <v>#N/A</v>
      </c>
      <c r="T7" s="316" t="e">
        <f>HLOOKUP(T$8,SUPPORT!$T$5:$AN$19,3,FALSE)</f>
        <v>#N/A</v>
      </c>
      <c r="U7" s="316" t="e">
        <f>HLOOKUP(U$8,SUPPORT!$T$5:$AN$19,3,FALSE)</f>
        <v>#N/A</v>
      </c>
      <c r="V7" s="316" t="e">
        <f>HLOOKUP(V$8,SUPPORT!$T$5:$AN$19,3,FALSE)</f>
        <v>#N/A</v>
      </c>
      <c r="W7" s="316" t="e">
        <f>HLOOKUP(W$8,SUPPORT!$T$5:$AN$19,3,FALSE)</f>
        <v>#N/A</v>
      </c>
      <c r="X7" s="316" t="e">
        <f>HLOOKUP(X$8,SUPPORT!$T$5:$AN$19,3,FALSE)</f>
        <v>#N/A</v>
      </c>
      <c r="Y7" s="316" t="e">
        <f>HLOOKUP(Y$8,SUPPORT!$T$5:$AN$19,3,FALSE)</f>
        <v>#N/A</v>
      </c>
      <c r="Z7" s="37"/>
    </row>
    <row r="8" spans="1:27" x14ac:dyDescent="0.15">
      <c r="A8" s="37"/>
      <c r="B8" s="502"/>
      <c r="C8" s="317"/>
      <c r="D8" s="318" t="s">
        <v>109</v>
      </c>
      <c r="E8" s="319">
        <f>HLOOKUP(0,SUPPORT!$T$5:$AN$19,1,FALSE)</f>
        <v>0</v>
      </c>
      <c r="F8" s="319">
        <f>IFERROR(HLOOKUP(E8+1,SUPPORT!$T$5:$AN$19,1,FALSE)," ")</f>
        <v>1</v>
      </c>
      <c r="G8" s="319">
        <f>IFERROR(HLOOKUP(F8+1,SUPPORT!$T$5:$AN$19,1,FALSE)," ")</f>
        <v>2</v>
      </c>
      <c r="H8" s="319">
        <f>IFERROR(HLOOKUP(G8+1,SUPPORT!$T$5:$AN$19,1,FALSE)," ")</f>
        <v>3</v>
      </c>
      <c r="I8" s="319">
        <f>IFERROR(HLOOKUP(H8+1,SUPPORT!$T$5:$AN$19,1,FALSE)," ")</f>
        <v>4</v>
      </c>
      <c r="J8" s="319">
        <f>IFERROR(HLOOKUP(I8+1,SUPPORT!$T$5:$AN$19,1,FALSE)," ")</f>
        <v>5</v>
      </c>
      <c r="K8" s="319">
        <f>IFERROR(HLOOKUP(J8+1,SUPPORT!$T$5:$AN$19,1,FALSE)," ")</f>
        <v>6</v>
      </c>
      <c r="L8" s="319">
        <f>IFERROR(HLOOKUP(K8+1,SUPPORT!$T$5:$AN$19,1,FALSE)," ")</f>
        <v>7</v>
      </c>
      <c r="M8" s="319">
        <f>IFERROR(HLOOKUP(L8+1,SUPPORT!$T$5:$AN$19,1,FALSE)," ")</f>
        <v>8</v>
      </c>
      <c r="N8" s="319">
        <f>IFERROR(HLOOKUP(M8+1,SUPPORT!$T$5:$AN$19,1,FALSE)," ")</f>
        <v>9</v>
      </c>
      <c r="O8" s="319">
        <f>IFERROR(HLOOKUP(N8+1,SUPPORT!$T$5:$AN$19,1,FALSE)," ")</f>
        <v>10</v>
      </c>
      <c r="P8" s="319" t="str">
        <f>IFERROR(HLOOKUP(O8+1,SUPPORT!$T$5:$AN$19,1,FALSE)," ")</f>
        <v xml:space="preserve"> </v>
      </c>
      <c r="Q8" s="319" t="str">
        <f>IFERROR(HLOOKUP(P8+1,SUPPORT!$T$5:$AN$19,1,FALSE)," ")</f>
        <v xml:space="preserve"> </v>
      </c>
      <c r="R8" s="319" t="str">
        <f>IFERROR(HLOOKUP(Q8+1,SUPPORT!$T$5:$AN$19,1,FALSE)," ")</f>
        <v xml:space="preserve"> </v>
      </c>
      <c r="S8" s="319" t="str">
        <f>IFERROR(HLOOKUP(R8+1,SUPPORT!$T$5:$AN$19,1,FALSE)," ")</f>
        <v xml:space="preserve"> </v>
      </c>
      <c r="T8" s="319" t="str">
        <f>IFERROR(HLOOKUP(S8+1,SUPPORT!$T$5:$AN$19,1,FALSE)," ")</f>
        <v xml:space="preserve"> </v>
      </c>
      <c r="U8" s="319" t="str">
        <f>IFERROR(HLOOKUP(T8+1,SUPPORT!$T$5:$AN$19,1,FALSE)," ")</f>
        <v xml:space="preserve"> </v>
      </c>
      <c r="V8" s="319" t="str">
        <f>IFERROR(HLOOKUP(U8+1,SUPPORT!$T$5:$AN$19,1,FALSE)," ")</f>
        <v xml:space="preserve"> </v>
      </c>
      <c r="W8" s="319" t="str">
        <f>IFERROR(HLOOKUP(V8+1,SUPPORT!$T$5:$AN$19,1,FALSE)," ")</f>
        <v xml:space="preserve"> </v>
      </c>
      <c r="X8" s="319" t="str">
        <f>IFERROR(HLOOKUP(W8+1,SUPPORT!$T$5:$AN$19,1,FALSE)," ")</f>
        <v xml:space="preserve"> </v>
      </c>
      <c r="Y8" s="319" t="str">
        <f>IFERROR(HLOOKUP(X8+1,SUPPORT!$T$5:$AN$19,1,FALSE)," ")</f>
        <v xml:space="preserve"> </v>
      </c>
      <c r="Z8" s="37"/>
      <c r="AA8" s="29"/>
    </row>
    <row r="9" spans="1:27" x14ac:dyDescent="0.15">
      <c r="A9" s="37"/>
      <c r="B9" s="502"/>
      <c r="C9" s="506" t="s">
        <v>104</v>
      </c>
      <c r="D9" s="320" t="s">
        <v>101</v>
      </c>
      <c r="E9" s="426">
        <f>HLOOKUP(E$8,SUPPORT!$T$5:$AN$19,4,FALSE)</f>
        <v>0</v>
      </c>
      <c r="F9" s="426">
        <f>HLOOKUP(F$8,SUPPORT!$T$5:$AN$19,4,FALSE)</f>
        <v>0</v>
      </c>
      <c r="G9" s="426">
        <f>HLOOKUP(G$8,SUPPORT!$T$5:$AN$19,4,FALSE)</f>
        <v>170000</v>
      </c>
      <c r="H9" s="426">
        <f>HLOOKUP(H$8,SUPPORT!$T$5:$AN$19,4,FALSE)</f>
        <v>867000</v>
      </c>
      <c r="I9" s="426">
        <f>HLOOKUP(I$8,SUPPORT!$T$5:$AN$19,4,FALSE)</f>
        <v>1768680</v>
      </c>
      <c r="J9" s="426">
        <f>HLOOKUP(J$8,SUPPORT!$T$5:$AN$19,4,FALSE)</f>
        <v>1984458.96</v>
      </c>
      <c r="K9" s="426">
        <f>HLOOKUP(K$8,SUPPORT!$T$5:$AN$19,4,FALSE)</f>
        <v>2116154.8728</v>
      </c>
      <c r="L9" s="426">
        <f>HLOOKUP(L$8,SUPPORT!$T$5:$AN$19,4,FALSE)</f>
        <v>2440018.5750719998</v>
      </c>
      <c r="M9" s="426">
        <f>HLOOKUP(M$8,SUPPORT!$T$5:$AN$19,4,FALSE)</f>
        <v>2871714.1691232002</v>
      </c>
      <c r="N9" s="426">
        <f>HLOOKUP(N$8,SUPPORT!$T$5:$AN$19,4,FALSE)</f>
        <v>2636233.607255097</v>
      </c>
      <c r="O9" s="426">
        <f>HLOOKUP(O$8,SUPPORT!$T$5:$AN$19,4,FALSE)</f>
        <v>2589367.2320150067</v>
      </c>
      <c r="P9" s="426" t="e">
        <f>HLOOKUP(P$8,SUPPORT!$T$5:$AN$19,4,FALSE)</f>
        <v>#N/A</v>
      </c>
      <c r="Q9" s="426" t="e">
        <f>HLOOKUP(Q$8,SUPPORT!$T$5:$AN$19,4,FALSE)</f>
        <v>#N/A</v>
      </c>
      <c r="R9" s="426" t="e">
        <f>HLOOKUP(R$8,SUPPORT!$T$5:$AN$19,4,FALSE)</f>
        <v>#N/A</v>
      </c>
      <c r="S9" s="426" t="e">
        <f>HLOOKUP(S$8,SUPPORT!$T$5:$AN$19,4,FALSE)</f>
        <v>#N/A</v>
      </c>
      <c r="T9" s="426" t="e">
        <f>HLOOKUP(T$8,SUPPORT!$T$5:$AN$19,4,FALSE)</f>
        <v>#N/A</v>
      </c>
      <c r="U9" s="426" t="e">
        <f>HLOOKUP(U$8,SUPPORT!$T$5:$AN$19,4,FALSE)</f>
        <v>#N/A</v>
      </c>
      <c r="V9" s="426" t="e">
        <f>HLOOKUP(V$8,SUPPORT!$T$5:$AN$19,4,FALSE)</f>
        <v>#N/A</v>
      </c>
      <c r="W9" s="426" t="e">
        <f>HLOOKUP(W$8,SUPPORT!$T$5:$AN$19,4,FALSE)</f>
        <v>#N/A</v>
      </c>
      <c r="X9" s="426" t="e">
        <f>HLOOKUP(X$8,SUPPORT!$T$5:$AN$19,4,FALSE)</f>
        <v>#N/A</v>
      </c>
      <c r="Y9" s="426" t="e">
        <f>HLOOKUP(Y$8,SUPPORT!$T$5:$AN$19,4,FALSE)</f>
        <v>#N/A</v>
      </c>
      <c r="Z9" s="37"/>
    </row>
    <row r="10" spans="1:27" x14ac:dyDescent="0.15">
      <c r="A10" s="37"/>
      <c r="B10" s="502"/>
      <c r="C10" s="507"/>
      <c r="D10" s="321" t="s">
        <v>102</v>
      </c>
      <c r="E10" s="427">
        <f>HLOOKUP(E$8,SUPPORT!$T$5:$AN$19,5,FALSE)</f>
        <v>0</v>
      </c>
      <c r="F10" s="427">
        <f>HLOOKUP(F$8,SUPPORT!$T$5:$AN$19,5,FALSE)</f>
        <v>0</v>
      </c>
      <c r="G10" s="427">
        <f>HLOOKUP(G$8,SUPPORT!$T$5:$AN$19,5,FALSE)</f>
        <v>50000</v>
      </c>
      <c r="H10" s="427">
        <f>HLOOKUP(H$8,SUPPORT!$T$5:$AN$19,5,FALSE)</f>
        <v>255000</v>
      </c>
      <c r="I10" s="427">
        <f>HLOOKUP(I$8,SUPPORT!$T$5:$AN$19,5,FALSE)</f>
        <v>520200</v>
      </c>
      <c r="J10" s="427">
        <f>HLOOKUP(J$8,SUPPORT!$T$5:$AN$19,5,FALSE)</f>
        <v>583664.39999999991</v>
      </c>
      <c r="K10" s="427">
        <f>HLOOKUP(K$8,SUPPORT!$T$5:$AN$19,5,FALSE)</f>
        <v>622398.49199999997</v>
      </c>
      <c r="L10" s="427">
        <f>HLOOKUP(L$8,SUPPORT!$T$5:$AN$19,5,FALSE)</f>
        <v>717652.52208000002</v>
      </c>
      <c r="M10" s="427">
        <f>HLOOKUP(M$8,SUPPORT!$T$5:$AN$19,5,FALSE)</f>
        <v>844621.81444800005</v>
      </c>
      <c r="N10" s="427">
        <f>HLOOKUP(N$8,SUPPORT!$T$5:$AN$19,5,FALSE)</f>
        <v>775362.82566326391</v>
      </c>
      <c r="O10" s="427">
        <f>HLOOKUP(O$8,SUPPORT!$T$5:$AN$19,5,FALSE)</f>
        <v>761578.59765147255</v>
      </c>
      <c r="P10" s="427" t="e">
        <f>HLOOKUP(P$8,SUPPORT!$T$5:$AN$19,5,FALSE)</f>
        <v>#N/A</v>
      </c>
      <c r="Q10" s="427" t="e">
        <f>HLOOKUP(Q$8,SUPPORT!$T$5:$AN$19,5,FALSE)</f>
        <v>#N/A</v>
      </c>
      <c r="R10" s="427" t="e">
        <f>HLOOKUP(R$8,SUPPORT!$T$5:$AN$19,5,FALSE)</f>
        <v>#N/A</v>
      </c>
      <c r="S10" s="427" t="e">
        <f>HLOOKUP(S$8,SUPPORT!$T$5:$AN$19,5,FALSE)</f>
        <v>#N/A</v>
      </c>
      <c r="T10" s="427" t="e">
        <f>HLOOKUP(T$8,SUPPORT!$T$5:$AN$19,5,FALSE)</f>
        <v>#N/A</v>
      </c>
      <c r="U10" s="427" t="e">
        <f>HLOOKUP(U$8,SUPPORT!$T$5:$AN$19,5,FALSE)</f>
        <v>#N/A</v>
      </c>
      <c r="V10" s="427" t="e">
        <f>HLOOKUP(V$8,SUPPORT!$T$5:$AN$19,5,FALSE)</f>
        <v>#N/A</v>
      </c>
      <c r="W10" s="427" t="e">
        <f>HLOOKUP(W$8,SUPPORT!$T$5:$AN$19,5,FALSE)</f>
        <v>#N/A</v>
      </c>
      <c r="X10" s="427" t="e">
        <f>HLOOKUP(X$8,SUPPORT!$T$5:$AN$19,5,FALSE)</f>
        <v>#N/A</v>
      </c>
      <c r="Y10" s="427" t="e">
        <f>HLOOKUP(Y$8,SUPPORT!$T$5:$AN$19,5,FALSE)</f>
        <v>#N/A</v>
      </c>
      <c r="Z10" s="37"/>
    </row>
    <row r="11" spans="1:27" x14ac:dyDescent="0.15">
      <c r="A11" s="37"/>
      <c r="B11" s="502"/>
      <c r="C11" s="507"/>
      <c r="D11" s="321" t="s">
        <v>103</v>
      </c>
      <c r="E11" s="427">
        <f>HLOOKUP(E$8,SUPPORT!$T$5:$AN$19,6,FALSE)</f>
        <v>0</v>
      </c>
      <c r="F11" s="427">
        <f>HLOOKUP(F$8,SUPPORT!$T$5:$AN$19,6,FALSE)</f>
        <v>0</v>
      </c>
      <c r="G11" s="427">
        <f>HLOOKUP(G$8,SUPPORT!$T$5:$AN$19,6,FALSE)</f>
        <v>25000</v>
      </c>
      <c r="H11" s="427">
        <f>HLOOKUP(H$8,SUPPORT!$T$5:$AN$19,6,FALSE)</f>
        <v>150450</v>
      </c>
      <c r="I11" s="427">
        <f>HLOOKUP(I$8,SUPPORT!$T$5:$AN$19,6,FALSE)</f>
        <v>398213.1</v>
      </c>
      <c r="J11" s="427">
        <f>HLOOKUP(J$8,SUPPORT!$T$5:$AN$19,6,FALSE)</f>
        <v>657391.82579999999</v>
      </c>
      <c r="K11" s="427">
        <f>HLOOKUP(K$8,SUPPORT!$T$5:$AN$19,6,FALSE)</f>
        <v>914684.94208439987</v>
      </c>
      <c r="L11" s="427">
        <f>HLOOKUP(L$8,SUPPORT!$T$5:$AN$19,6,FALSE)</f>
        <v>1198507.0378734793</v>
      </c>
      <c r="M11" s="427">
        <f>HLOOKUP(M$8,SUPPORT!$T$5:$AN$19,6,FALSE)</f>
        <v>1522540.367991854</v>
      </c>
      <c r="N11" s="427">
        <f>HLOOKUP(N$8,SUPPORT!$T$5:$AN$19,6,FALSE)</f>
        <v>1785373.4706481535</v>
      </c>
      <c r="O11" s="427">
        <f>HLOOKUP(O$8,SUPPORT!$T$5:$AN$19,6,FALSE)</f>
        <v>2019762.1448807414</v>
      </c>
      <c r="P11" s="427" t="e">
        <f>HLOOKUP(P$8,SUPPORT!$T$5:$AN$19,6,FALSE)</f>
        <v>#N/A</v>
      </c>
      <c r="Q11" s="427" t="e">
        <f>HLOOKUP(Q$8,SUPPORT!$T$5:$AN$19,6,FALSE)</f>
        <v>#N/A</v>
      </c>
      <c r="R11" s="427" t="e">
        <f>HLOOKUP(R$8,SUPPORT!$T$5:$AN$19,6,FALSE)</f>
        <v>#N/A</v>
      </c>
      <c r="S11" s="427" t="e">
        <f>HLOOKUP(S$8,SUPPORT!$T$5:$AN$19,6,FALSE)</f>
        <v>#N/A</v>
      </c>
      <c r="T11" s="427" t="e">
        <f>HLOOKUP(T$8,SUPPORT!$T$5:$AN$19,6,FALSE)</f>
        <v>#N/A</v>
      </c>
      <c r="U11" s="427" t="e">
        <f>HLOOKUP(U$8,SUPPORT!$T$5:$AN$19,6,FALSE)</f>
        <v>#N/A</v>
      </c>
      <c r="V11" s="427" t="e">
        <f>HLOOKUP(V$8,SUPPORT!$T$5:$AN$19,6,FALSE)</f>
        <v>#N/A</v>
      </c>
      <c r="W11" s="427" t="e">
        <f>HLOOKUP(W$8,SUPPORT!$T$5:$AN$19,6,FALSE)</f>
        <v>#N/A</v>
      </c>
      <c r="X11" s="427" t="e">
        <f>HLOOKUP(X$8,SUPPORT!$T$5:$AN$19,6,FALSE)</f>
        <v>#N/A</v>
      </c>
      <c r="Y11" s="427" t="e">
        <f>HLOOKUP(Y$8,SUPPORT!$T$5:$AN$19,6,FALSE)</f>
        <v>#N/A</v>
      </c>
      <c r="Z11" s="37"/>
    </row>
    <row r="12" spans="1:27" x14ac:dyDescent="0.15">
      <c r="A12" s="37"/>
      <c r="B12" s="502"/>
      <c r="C12" s="322" t="s">
        <v>105</v>
      </c>
      <c r="D12" s="323" t="s">
        <v>105</v>
      </c>
      <c r="E12" s="428">
        <f>IF(E8="","",+SUM(E9:E11))</f>
        <v>0</v>
      </c>
      <c r="F12" s="428">
        <f>IF(F8="","",+SUM(F9:F11))</f>
        <v>0</v>
      </c>
      <c r="G12" s="428">
        <f t="shared" ref="G12:Y12" si="0">IF(G8="","",+SUM(G9:G11))</f>
        <v>245000</v>
      </c>
      <c r="H12" s="428">
        <f t="shared" si="0"/>
        <v>1272450</v>
      </c>
      <c r="I12" s="428">
        <f t="shared" si="0"/>
        <v>2687093.1</v>
      </c>
      <c r="J12" s="428">
        <f t="shared" si="0"/>
        <v>3225515.1858000001</v>
      </c>
      <c r="K12" s="428">
        <f t="shared" si="0"/>
        <v>3653238.3068844001</v>
      </c>
      <c r="L12" s="428">
        <f t="shared" si="0"/>
        <v>4356178.1350254789</v>
      </c>
      <c r="M12" s="428">
        <f t="shared" si="0"/>
        <v>5238876.3515630541</v>
      </c>
      <c r="N12" s="428">
        <f t="shared" si="0"/>
        <v>5196969.9035665141</v>
      </c>
      <c r="O12" s="428">
        <f t="shared" si="0"/>
        <v>5370707.9745472204</v>
      </c>
      <c r="P12" s="428" t="e">
        <f t="shared" si="0"/>
        <v>#N/A</v>
      </c>
      <c r="Q12" s="428" t="e">
        <f t="shared" si="0"/>
        <v>#N/A</v>
      </c>
      <c r="R12" s="428" t="e">
        <f t="shared" si="0"/>
        <v>#N/A</v>
      </c>
      <c r="S12" s="428" t="e">
        <f t="shared" si="0"/>
        <v>#N/A</v>
      </c>
      <c r="T12" s="428" t="e">
        <f t="shared" si="0"/>
        <v>#N/A</v>
      </c>
      <c r="U12" s="428" t="e">
        <f t="shared" si="0"/>
        <v>#N/A</v>
      </c>
      <c r="V12" s="428" t="e">
        <f t="shared" si="0"/>
        <v>#N/A</v>
      </c>
      <c r="W12" s="428" t="e">
        <f t="shared" si="0"/>
        <v>#N/A</v>
      </c>
      <c r="X12" s="428" t="e">
        <f t="shared" si="0"/>
        <v>#N/A</v>
      </c>
      <c r="Y12" s="428" t="e">
        <f t="shared" si="0"/>
        <v>#N/A</v>
      </c>
      <c r="Z12" s="37"/>
    </row>
    <row r="13" spans="1:27" x14ac:dyDescent="0.15">
      <c r="A13" s="37"/>
      <c r="B13" s="502"/>
      <c r="C13" s="322" t="s">
        <v>143</v>
      </c>
      <c r="D13" s="324" t="s">
        <v>143</v>
      </c>
      <c r="E13" s="429">
        <f>HLOOKUP(E$8,SUPPORT!$T$5:$AN$19,7,FALSE)</f>
        <v>0</v>
      </c>
      <c r="F13" s="429">
        <f>HLOOKUP(F$8,SUPPORT!$T$5:$AN$19,7,FALSE)</f>
        <v>0</v>
      </c>
      <c r="G13" s="429">
        <f>HLOOKUP(G$8,SUPPORT!$T$5:$AN$19,7,FALSE)</f>
        <v>160000</v>
      </c>
      <c r="H13" s="429">
        <f>HLOOKUP(H$8,SUPPORT!$T$5:$AN$19,7,FALSE)</f>
        <v>816000</v>
      </c>
      <c r="I13" s="429">
        <f>HLOOKUP(I$8,SUPPORT!$T$5:$AN$19,7,FALSE)</f>
        <v>1664640</v>
      </c>
      <c r="J13" s="429">
        <f>HLOOKUP(J$8,SUPPORT!$T$5:$AN$19,7,FALSE)</f>
        <v>1867726.0799999998</v>
      </c>
      <c r="K13" s="429">
        <f>HLOOKUP(K$8,SUPPORT!$T$5:$AN$19,7,FALSE)</f>
        <v>1991675.1743999999</v>
      </c>
      <c r="L13" s="429">
        <f>HLOOKUP(L$8,SUPPORT!$T$5:$AN$19,7,FALSE)</f>
        <v>2296488.0706560002</v>
      </c>
      <c r="M13" s="429">
        <f>HLOOKUP(M$8,SUPPORT!$T$5:$AN$19,7,FALSE)</f>
        <v>2702789.8062336002</v>
      </c>
      <c r="N13" s="429">
        <f>HLOOKUP(N$8,SUPPORT!$T$5:$AN$19,7,FALSE)</f>
        <v>2481161.0421224446</v>
      </c>
      <c r="O13" s="429">
        <f>HLOOKUP(O$8,SUPPORT!$T$5:$AN$19,7,FALSE)</f>
        <v>2437051.5124847121</v>
      </c>
      <c r="P13" s="429" t="e">
        <f>HLOOKUP(P$8,SUPPORT!$T$5:$AN$19,7,FALSE)</f>
        <v>#N/A</v>
      </c>
      <c r="Q13" s="429" t="e">
        <f>HLOOKUP(Q$8,SUPPORT!$T$5:$AN$19,7,FALSE)</f>
        <v>#N/A</v>
      </c>
      <c r="R13" s="429" t="e">
        <f>HLOOKUP(R$8,SUPPORT!$T$5:$AN$19,7,FALSE)</f>
        <v>#N/A</v>
      </c>
      <c r="S13" s="429" t="e">
        <f>HLOOKUP(S$8,SUPPORT!$T$5:$AN$19,7,FALSE)</f>
        <v>#N/A</v>
      </c>
      <c r="T13" s="429" t="e">
        <f>HLOOKUP(T$8,SUPPORT!$T$5:$AN$19,7,FALSE)</f>
        <v>#N/A</v>
      </c>
      <c r="U13" s="429" t="e">
        <f>HLOOKUP(U$8,SUPPORT!$T$5:$AN$19,7,FALSE)</f>
        <v>#N/A</v>
      </c>
      <c r="V13" s="429" t="e">
        <f>HLOOKUP(V$8,SUPPORT!$T$5:$AN$19,7,FALSE)</f>
        <v>#N/A</v>
      </c>
      <c r="W13" s="429" t="e">
        <f>HLOOKUP(W$8,SUPPORT!$T$5:$AN$19,7,FALSE)</f>
        <v>#N/A</v>
      </c>
      <c r="X13" s="429" t="e">
        <f>HLOOKUP(X$8,SUPPORT!$T$5:$AN$19,7,FALSE)</f>
        <v>#N/A</v>
      </c>
      <c r="Y13" s="429" t="e">
        <f>HLOOKUP(Y$8,SUPPORT!$T$5:$AN$19,7,FALSE)</f>
        <v>#N/A</v>
      </c>
      <c r="Z13" s="37"/>
    </row>
    <row r="14" spans="1:27" x14ac:dyDescent="0.15">
      <c r="A14" s="37"/>
      <c r="B14" s="502"/>
      <c r="C14" s="506" t="s">
        <v>25</v>
      </c>
      <c r="D14" s="325" t="s">
        <v>114</v>
      </c>
      <c r="E14" s="427">
        <f>HLOOKUP(E$8,SUPPORT!$T$5:$AN$19,8,FALSE)</f>
        <v>0</v>
      </c>
      <c r="F14" s="427">
        <f>HLOOKUP(F$8,SUPPORT!$T$5:$AN$19,8,FALSE)</f>
        <v>0</v>
      </c>
      <c r="G14" s="427">
        <f>HLOOKUP(G$8,SUPPORT!$T$5:$AN$19,8,FALSE)</f>
        <v>60000</v>
      </c>
      <c r="H14" s="427">
        <f>HLOOKUP(H$8,SUPPORT!$T$5:$AN$19,8,FALSE)</f>
        <v>60000</v>
      </c>
      <c r="I14" s="427">
        <f>HLOOKUP(I$8,SUPPORT!$T$5:$AN$19,8,FALSE)</f>
        <v>60000</v>
      </c>
      <c r="J14" s="427">
        <f>HLOOKUP(J$8,SUPPORT!$T$5:$AN$19,8,FALSE)</f>
        <v>70000</v>
      </c>
      <c r="K14" s="427">
        <f>HLOOKUP(K$8,SUPPORT!$T$5:$AN$19,8,FALSE)</f>
        <v>70000</v>
      </c>
      <c r="L14" s="427">
        <f>HLOOKUP(L$8,SUPPORT!$T$5:$AN$19,8,FALSE)</f>
        <v>70000</v>
      </c>
      <c r="M14" s="427">
        <f>HLOOKUP(M$8,SUPPORT!$T$5:$AN$19,8,FALSE)</f>
        <v>75000</v>
      </c>
      <c r="N14" s="427">
        <f>HLOOKUP(N$8,SUPPORT!$T$5:$AN$19,8,FALSE)</f>
        <v>75000</v>
      </c>
      <c r="O14" s="427">
        <f>HLOOKUP(O$8,SUPPORT!$T$5:$AN$19,8,FALSE)</f>
        <v>75000</v>
      </c>
      <c r="P14" s="427" t="e">
        <f>HLOOKUP(P$8,SUPPORT!$T$5:$AN$19,8,FALSE)</f>
        <v>#N/A</v>
      </c>
      <c r="Q14" s="427" t="e">
        <f>HLOOKUP(Q$8,SUPPORT!$T$5:$AN$19,8,FALSE)</f>
        <v>#N/A</v>
      </c>
      <c r="R14" s="427" t="e">
        <f>HLOOKUP(R$8,SUPPORT!$T$5:$AN$19,8,FALSE)</f>
        <v>#N/A</v>
      </c>
      <c r="S14" s="427" t="e">
        <f>HLOOKUP(S$8,SUPPORT!$T$5:$AN$19,8,FALSE)</f>
        <v>#N/A</v>
      </c>
      <c r="T14" s="427" t="e">
        <f>HLOOKUP(T$8,SUPPORT!$T$5:$AN$19,8,FALSE)</f>
        <v>#N/A</v>
      </c>
      <c r="U14" s="427" t="e">
        <f>HLOOKUP(U$8,SUPPORT!$T$5:$AN$19,8,FALSE)</f>
        <v>#N/A</v>
      </c>
      <c r="V14" s="427" t="e">
        <f>HLOOKUP(V$8,SUPPORT!$T$5:$AN$19,8,FALSE)</f>
        <v>#N/A</v>
      </c>
      <c r="W14" s="427" t="e">
        <f>HLOOKUP(W$8,SUPPORT!$T$5:$AN$19,8,FALSE)</f>
        <v>#N/A</v>
      </c>
      <c r="X14" s="427" t="e">
        <f>HLOOKUP(X$8,SUPPORT!$T$5:$AN$19,8,FALSE)</f>
        <v>#N/A</v>
      </c>
      <c r="Y14" s="427" t="e">
        <f>HLOOKUP(Y$8,SUPPORT!$T$5:$AN$19,8,FALSE)</f>
        <v>#N/A</v>
      </c>
      <c r="Z14" s="37"/>
    </row>
    <row r="15" spans="1:27" x14ac:dyDescent="0.15">
      <c r="A15" s="37"/>
      <c r="B15" s="502"/>
      <c r="C15" s="507"/>
      <c r="D15" s="325" t="s">
        <v>112</v>
      </c>
      <c r="E15" s="427">
        <f>HLOOKUP(E$8,SUPPORT!$T$5:$AN$19,9,FALSE)</f>
        <v>0</v>
      </c>
      <c r="F15" s="427">
        <f>HLOOKUP(F$8,SUPPORT!$T$5:$AN$19,9,FALSE)</f>
        <v>0</v>
      </c>
      <c r="G15" s="427">
        <f>HLOOKUP(G$8,SUPPORT!$T$5:$AN$19,9,FALSE)</f>
        <v>45000</v>
      </c>
      <c r="H15" s="427">
        <f>HLOOKUP(H$8,SUPPORT!$T$5:$AN$19,9,FALSE)</f>
        <v>45000</v>
      </c>
      <c r="I15" s="427">
        <f>HLOOKUP(I$8,SUPPORT!$T$5:$AN$19,9,FALSE)</f>
        <v>45000</v>
      </c>
      <c r="J15" s="427">
        <f>HLOOKUP(J$8,SUPPORT!$T$5:$AN$19,9,FALSE)</f>
        <v>55000</v>
      </c>
      <c r="K15" s="427">
        <f>HLOOKUP(K$8,SUPPORT!$T$5:$AN$19,9,FALSE)</f>
        <v>55000</v>
      </c>
      <c r="L15" s="427">
        <f>HLOOKUP(L$8,SUPPORT!$T$5:$AN$19,9,FALSE)</f>
        <v>55000</v>
      </c>
      <c r="M15" s="427">
        <f>HLOOKUP(M$8,SUPPORT!$T$5:$AN$19,9,FALSE)</f>
        <v>60000</v>
      </c>
      <c r="N15" s="427">
        <f>HLOOKUP(N$8,SUPPORT!$T$5:$AN$19,9,FALSE)</f>
        <v>60000</v>
      </c>
      <c r="O15" s="427">
        <f>HLOOKUP(O$8,SUPPORT!$T$5:$AN$19,9,FALSE)</f>
        <v>60000</v>
      </c>
      <c r="P15" s="427" t="e">
        <f>HLOOKUP(P$8,SUPPORT!$T$5:$AN$19,9,FALSE)</f>
        <v>#N/A</v>
      </c>
      <c r="Q15" s="427" t="e">
        <f>HLOOKUP(Q$8,SUPPORT!$T$5:$AN$19,9,FALSE)</f>
        <v>#N/A</v>
      </c>
      <c r="R15" s="427" t="e">
        <f>HLOOKUP(R$8,SUPPORT!$T$5:$AN$19,9,FALSE)</f>
        <v>#N/A</v>
      </c>
      <c r="S15" s="427" t="e">
        <f>HLOOKUP(S$8,SUPPORT!$T$5:$AN$19,9,FALSE)</f>
        <v>#N/A</v>
      </c>
      <c r="T15" s="427" t="e">
        <f>HLOOKUP(T$8,SUPPORT!$T$5:$AN$19,9,FALSE)</f>
        <v>#N/A</v>
      </c>
      <c r="U15" s="427" t="e">
        <f>HLOOKUP(U$8,SUPPORT!$T$5:$AN$19,9,FALSE)</f>
        <v>#N/A</v>
      </c>
      <c r="V15" s="427" t="e">
        <f>HLOOKUP(V$8,SUPPORT!$T$5:$AN$19,9,FALSE)</f>
        <v>#N/A</v>
      </c>
      <c r="W15" s="427" t="e">
        <f>HLOOKUP(W$8,SUPPORT!$T$5:$AN$19,9,FALSE)</f>
        <v>#N/A</v>
      </c>
      <c r="X15" s="427" t="e">
        <f>HLOOKUP(X$8,SUPPORT!$T$5:$AN$19,9,FALSE)</f>
        <v>#N/A</v>
      </c>
      <c r="Y15" s="427" t="e">
        <f>HLOOKUP(Y$8,SUPPORT!$T$5:$AN$19,9,FALSE)</f>
        <v>#N/A</v>
      </c>
      <c r="Z15" s="37"/>
    </row>
    <row r="16" spans="1:27" x14ac:dyDescent="0.15">
      <c r="A16" s="37"/>
      <c r="B16" s="502"/>
      <c r="C16" s="507"/>
      <c r="D16" s="325" t="s">
        <v>113</v>
      </c>
      <c r="E16" s="427">
        <f>HLOOKUP(E$8,SUPPORT!$T$5:$AN$19,10,FALSE)</f>
        <v>0</v>
      </c>
      <c r="F16" s="427">
        <f>HLOOKUP(F$8,SUPPORT!$T$5:$AN$19,10,FALSE)</f>
        <v>0</v>
      </c>
      <c r="G16" s="427">
        <f>HLOOKUP(G$8,SUPPORT!$T$5:$AN$19,10,FALSE)</f>
        <v>35000</v>
      </c>
      <c r="H16" s="427">
        <f>HLOOKUP(H$8,SUPPORT!$T$5:$AN$19,10,FALSE)</f>
        <v>35000</v>
      </c>
      <c r="I16" s="427">
        <f>HLOOKUP(I$8,SUPPORT!$T$5:$AN$19,10,FALSE)</f>
        <v>35000</v>
      </c>
      <c r="J16" s="427">
        <f>HLOOKUP(J$8,SUPPORT!$T$5:$AN$19,10,FALSE)</f>
        <v>45000</v>
      </c>
      <c r="K16" s="427">
        <f>HLOOKUP(K$8,SUPPORT!$T$5:$AN$19,10,FALSE)</f>
        <v>45000</v>
      </c>
      <c r="L16" s="427">
        <f>HLOOKUP(L$8,SUPPORT!$T$5:$AN$19,10,FALSE)</f>
        <v>45000</v>
      </c>
      <c r="M16" s="427">
        <f>HLOOKUP(M$8,SUPPORT!$T$5:$AN$19,10,FALSE)</f>
        <v>50000</v>
      </c>
      <c r="N16" s="427">
        <f>HLOOKUP(N$8,SUPPORT!$T$5:$AN$19,10,FALSE)</f>
        <v>50000</v>
      </c>
      <c r="O16" s="427">
        <f>HLOOKUP(O$8,SUPPORT!$T$5:$AN$19,10,FALSE)</f>
        <v>50000</v>
      </c>
      <c r="P16" s="427" t="e">
        <f>HLOOKUP(P$8,SUPPORT!$T$5:$AN$19,10,FALSE)</f>
        <v>#N/A</v>
      </c>
      <c r="Q16" s="427" t="e">
        <f>HLOOKUP(Q$8,SUPPORT!$T$5:$AN$19,10,FALSE)</f>
        <v>#N/A</v>
      </c>
      <c r="R16" s="427" t="e">
        <f>HLOOKUP(R$8,SUPPORT!$T$5:$AN$19,10,FALSE)</f>
        <v>#N/A</v>
      </c>
      <c r="S16" s="427" t="e">
        <f>HLOOKUP(S$8,SUPPORT!$T$5:$AN$19,10,FALSE)</f>
        <v>#N/A</v>
      </c>
      <c r="T16" s="427" t="e">
        <f>HLOOKUP(T$8,SUPPORT!$T$5:$AN$19,10,FALSE)</f>
        <v>#N/A</v>
      </c>
      <c r="U16" s="427" t="e">
        <f>HLOOKUP(U$8,SUPPORT!$T$5:$AN$19,10,FALSE)</f>
        <v>#N/A</v>
      </c>
      <c r="V16" s="427" t="e">
        <f>HLOOKUP(V$8,SUPPORT!$T$5:$AN$19,10,FALSE)</f>
        <v>#N/A</v>
      </c>
      <c r="W16" s="427" t="e">
        <f>HLOOKUP(W$8,SUPPORT!$T$5:$AN$19,10,FALSE)</f>
        <v>#N/A</v>
      </c>
      <c r="X16" s="427" t="e">
        <f>HLOOKUP(X$8,SUPPORT!$T$5:$AN$19,10,FALSE)</f>
        <v>#N/A</v>
      </c>
      <c r="Y16" s="427" t="e">
        <f>HLOOKUP(Y$8,SUPPORT!$T$5:$AN$19,10,FALSE)</f>
        <v>#N/A</v>
      </c>
      <c r="Z16" s="37"/>
    </row>
    <row r="17" spans="1:26" x14ac:dyDescent="0.15">
      <c r="A17" s="37"/>
      <c r="B17" s="502"/>
      <c r="C17" s="508"/>
      <c r="D17" s="326" t="s">
        <v>148</v>
      </c>
      <c r="E17" s="427">
        <f>HLOOKUP(E$8,SUPPORT!$T$5:$AN$19,11,FALSE)</f>
        <v>0</v>
      </c>
      <c r="F17" s="427">
        <f>HLOOKUP(F$8,SUPPORT!$T$5:$AN$19,11,FALSE)</f>
        <v>0</v>
      </c>
      <c r="G17" s="427">
        <f>HLOOKUP(G$8,SUPPORT!$T$5:$AN$19,11,FALSE)</f>
        <v>0</v>
      </c>
      <c r="H17" s="427">
        <f>HLOOKUP(H$8,SUPPORT!$T$5:$AN$19,11,FALSE)</f>
        <v>0</v>
      </c>
      <c r="I17" s="427">
        <f>HLOOKUP(I$8,SUPPORT!$T$5:$AN$19,11,FALSE)</f>
        <v>0</v>
      </c>
      <c r="J17" s="427">
        <f>HLOOKUP(J$8,SUPPORT!$T$5:$AN$19,11,FALSE)</f>
        <v>0</v>
      </c>
      <c r="K17" s="427">
        <f>HLOOKUP(K$8,SUPPORT!$T$5:$AN$19,11,FALSE)</f>
        <v>0</v>
      </c>
      <c r="L17" s="427">
        <f>HLOOKUP(L$8,SUPPORT!$T$5:$AN$19,11,FALSE)</f>
        <v>0</v>
      </c>
      <c r="M17" s="427">
        <f>HLOOKUP(M$8,SUPPORT!$T$5:$AN$19,11,FALSE)</f>
        <v>0</v>
      </c>
      <c r="N17" s="427">
        <f>HLOOKUP(N$8,SUPPORT!$T$5:$AN$19,11,FALSE)</f>
        <v>0</v>
      </c>
      <c r="O17" s="427">
        <f>HLOOKUP(O$8,SUPPORT!$T$5:$AN$19,11,FALSE)</f>
        <v>0</v>
      </c>
      <c r="P17" s="427" t="e">
        <f>HLOOKUP(P$8,SUPPORT!$T$5:$AN$19,11,FALSE)</f>
        <v>#N/A</v>
      </c>
      <c r="Q17" s="427" t="e">
        <f>HLOOKUP(Q$8,SUPPORT!$T$5:$AN$19,11,FALSE)</f>
        <v>#N/A</v>
      </c>
      <c r="R17" s="427" t="e">
        <f>HLOOKUP(R$8,SUPPORT!$T$5:$AN$19,11,FALSE)</f>
        <v>#N/A</v>
      </c>
      <c r="S17" s="427" t="e">
        <f>HLOOKUP(S$8,SUPPORT!$T$5:$AN$19,11,FALSE)</f>
        <v>#N/A</v>
      </c>
      <c r="T17" s="427" t="e">
        <f>HLOOKUP(T$8,SUPPORT!$T$5:$AN$19,11,FALSE)</f>
        <v>#N/A</v>
      </c>
      <c r="U17" s="427" t="e">
        <f>HLOOKUP(U$8,SUPPORT!$T$5:$AN$19,11,FALSE)</f>
        <v>#N/A</v>
      </c>
      <c r="V17" s="427" t="e">
        <f>HLOOKUP(V$8,SUPPORT!$T$5:$AN$19,11,FALSE)</f>
        <v>#N/A</v>
      </c>
      <c r="W17" s="427" t="e">
        <f>HLOOKUP(W$8,SUPPORT!$T$5:$AN$19,11,FALSE)</f>
        <v>#N/A</v>
      </c>
      <c r="X17" s="427" t="e">
        <f>HLOOKUP(X$8,SUPPORT!$T$5:$AN$19,11,FALSE)</f>
        <v>#N/A</v>
      </c>
      <c r="Y17" s="427" t="e">
        <f>HLOOKUP(Y$8,SUPPORT!$T$5:$AN$19,11,FALSE)</f>
        <v>#N/A</v>
      </c>
      <c r="Z17" s="37"/>
    </row>
    <row r="18" spans="1:26" x14ac:dyDescent="0.15">
      <c r="A18" s="37"/>
      <c r="B18" s="502"/>
      <c r="C18" s="506" t="s">
        <v>88</v>
      </c>
      <c r="D18" s="327" t="s">
        <v>98</v>
      </c>
      <c r="E18" s="430">
        <f>HLOOKUP(E$8,SUPPORT!$T$5:$AN$19,12,FALSE)</f>
        <v>500000</v>
      </c>
      <c r="F18" s="430">
        <f>HLOOKUP(F$8,SUPPORT!$T$5:$AN$19,12,FALSE)</f>
        <v>1268131.8681318681</v>
      </c>
      <c r="G18" s="430">
        <f>HLOOKUP(G$8,SUPPORT!$T$5:$AN$19,12,FALSE)</f>
        <v>531868.13186813192</v>
      </c>
      <c r="H18" s="430">
        <f>HLOOKUP(H$8,SUPPORT!$T$5:$AN$19,12,FALSE)</f>
        <v>0</v>
      </c>
      <c r="I18" s="430">
        <f>HLOOKUP(I$8,SUPPORT!$T$5:$AN$19,12,FALSE)</f>
        <v>0</v>
      </c>
      <c r="J18" s="430">
        <f>HLOOKUP(J$8,SUPPORT!$T$5:$AN$19,12,FALSE)</f>
        <v>0</v>
      </c>
      <c r="K18" s="430">
        <f>HLOOKUP(K$8,SUPPORT!$T$5:$AN$19,12,FALSE)</f>
        <v>0</v>
      </c>
      <c r="L18" s="430">
        <f>HLOOKUP(L$8,SUPPORT!$T$5:$AN$19,12,FALSE)</f>
        <v>0</v>
      </c>
      <c r="M18" s="430">
        <f>HLOOKUP(M$8,SUPPORT!$T$5:$AN$19,12,FALSE)</f>
        <v>0</v>
      </c>
      <c r="N18" s="430">
        <f>HLOOKUP(N$8,SUPPORT!$T$5:$AN$19,12,FALSE)</f>
        <v>0</v>
      </c>
      <c r="O18" s="430">
        <f>HLOOKUP(O$8,SUPPORT!$T$5:$AN$19,12,FALSE)</f>
        <v>0</v>
      </c>
      <c r="P18" s="430" t="e">
        <f>HLOOKUP(P$8,SUPPORT!$T$5:$AN$19,12,FALSE)</f>
        <v>#N/A</v>
      </c>
      <c r="Q18" s="430" t="e">
        <f>HLOOKUP(Q$8,SUPPORT!$T$5:$AN$19,12,FALSE)</f>
        <v>#N/A</v>
      </c>
      <c r="R18" s="430" t="e">
        <f>HLOOKUP(R$8,SUPPORT!$T$5:$AN$19,12,FALSE)</f>
        <v>#N/A</v>
      </c>
      <c r="S18" s="430" t="e">
        <f>HLOOKUP(S$8,SUPPORT!$T$5:$AN$19,12,FALSE)</f>
        <v>#N/A</v>
      </c>
      <c r="T18" s="430" t="e">
        <f>HLOOKUP(T$8,SUPPORT!$T$5:$AN$19,12,FALSE)</f>
        <v>#N/A</v>
      </c>
      <c r="U18" s="430" t="e">
        <f>HLOOKUP(U$8,SUPPORT!$T$5:$AN$19,12,FALSE)</f>
        <v>#N/A</v>
      </c>
      <c r="V18" s="430" t="e">
        <f>HLOOKUP(V$8,SUPPORT!$T$5:$AN$19,12,FALSE)</f>
        <v>#N/A</v>
      </c>
      <c r="W18" s="430" t="e">
        <f>HLOOKUP(W$8,SUPPORT!$T$5:$AN$19,12,FALSE)</f>
        <v>#N/A</v>
      </c>
      <c r="X18" s="430" t="e">
        <f>HLOOKUP(X$8,SUPPORT!$T$5:$AN$19,12,FALSE)</f>
        <v>#N/A</v>
      </c>
      <c r="Y18" s="430" t="e">
        <f>HLOOKUP(Y$8,SUPPORT!$T$5:$AN$19,12,FALSE)</f>
        <v>#N/A</v>
      </c>
      <c r="Z18" s="37"/>
    </row>
    <row r="19" spans="1:26" x14ac:dyDescent="0.15">
      <c r="A19" s="37"/>
      <c r="B19" s="502"/>
      <c r="C19" s="507"/>
      <c r="D19" s="328" t="s">
        <v>100</v>
      </c>
      <c r="E19" s="431">
        <f>HLOOKUP(E$8,SUPPORT!$T$5:$AN$19,13,FALSE)</f>
        <v>0</v>
      </c>
      <c r="F19" s="432">
        <f>HLOOKUP(F$8,SUPPORT!$T$5:$AN$19,13,FALSE)</f>
        <v>-884065.93406593404</v>
      </c>
      <c r="G19" s="432">
        <f>HLOOKUP(G$8,SUPPORT!$T$5:$AN$19,13,FALSE)</f>
        <v>-265934.06593406596</v>
      </c>
      <c r="H19" s="432">
        <f>HLOOKUP(H$8,SUPPORT!$T$5:$AN$19,13,FALSE)</f>
        <v>0</v>
      </c>
      <c r="I19" s="432">
        <f>HLOOKUP(I$8,SUPPORT!$T$5:$AN$19,13,FALSE)</f>
        <v>0</v>
      </c>
      <c r="J19" s="432">
        <f>HLOOKUP(J$8,SUPPORT!$T$5:$AN$19,13,FALSE)</f>
        <v>0</v>
      </c>
      <c r="K19" s="432">
        <f>HLOOKUP(K$8,SUPPORT!$T$5:$AN$19,13,FALSE)</f>
        <v>0</v>
      </c>
      <c r="L19" s="432">
        <f>HLOOKUP(L$8,SUPPORT!$T$5:$AN$19,13,FALSE)</f>
        <v>0</v>
      </c>
      <c r="M19" s="432">
        <f>HLOOKUP(M$8,SUPPORT!$T$5:$AN$19,13,FALSE)</f>
        <v>0</v>
      </c>
      <c r="N19" s="432">
        <f>HLOOKUP(N$8,SUPPORT!$T$5:$AN$19,13,FALSE)</f>
        <v>0</v>
      </c>
      <c r="O19" s="432">
        <f>HLOOKUP(O$8,SUPPORT!$T$5:$AN$19,13,FALSE)</f>
        <v>0</v>
      </c>
      <c r="P19" s="432" t="e">
        <f>HLOOKUP(P$8,SUPPORT!$T$5:$AN$19,13,FALSE)</f>
        <v>#N/A</v>
      </c>
      <c r="Q19" s="432" t="e">
        <f>HLOOKUP(Q$8,SUPPORT!$T$5:$AN$19,13,FALSE)</f>
        <v>#N/A</v>
      </c>
      <c r="R19" s="432" t="e">
        <f>HLOOKUP(R$8,SUPPORT!$T$5:$AN$19,13,FALSE)</f>
        <v>#N/A</v>
      </c>
      <c r="S19" s="432" t="e">
        <f>HLOOKUP(S$8,SUPPORT!$T$5:$AN$19,13,FALSE)</f>
        <v>#N/A</v>
      </c>
      <c r="T19" s="432" t="e">
        <f>HLOOKUP(T$8,SUPPORT!$T$5:$AN$19,13,FALSE)</f>
        <v>#N/A</v>
      </c>
      <c r="U19" s="432" t="e">
        <f>HLOOKUP(U$8,SUPPORT!$T$5:$AN$19,13,FALSE)</f>
        <v>#N/A</v>
      </c>
      <c r="V19" s="432" t="e">
        <f>HLOOKUP(V$8,SUPPORT!$T$5:$AN$19,13,FALSE)</f>
        <v>#N/A</v>
      </c>
      <c r="W19" s="432" t="e">
        <f>HLOOKUP(W$8,SUPPORT!$T$5:$AN$19,13,FALSE)</f>
        <v>#N/A</v>
      </c>
      <c r="X19" s="432" t="e">
        <f>HLOOKUP(X$8,SUPPORT!$T$5:$AN$19,13,FALSE)</f>
        <v>#N/A</v>
      </c>
      <c r="Y19" s="432" t="e">
        <f>HLOOKUP(Y$8,SUPPORT!$T$5:$AN$19,13,FALSE)</f>
        <v>#N/A</v>
      </c>
      <c r="Z19" s="37"/>
    </row>
    <row r="20" spans="1:26" x14ac:dyDescent="0.15">
      <c r="A20" s="37"/>
      <c r="B20" s="502"/>
      <c r="C20" s="508"/>
      <c r="D20" s="329" t="s">
        <v>99</v>
      </c>
      <c r="E20" s="433">
        <f>IF((E8=""),"",+E18+E19)</f>
        <v>500000</v>
      </c>
      <c r="F20" s="433">
        <f>IF((F8=""),"",+F18+F19)</f>
        <v>384065.93406593404</v>
      </c>
      <c r="G20" s="433">
        <f t="shared" ref="G20:Y20" si="1">IF((G8=""),"",+G18+G19)</f>
        <v>265934.06593406596</v>
      </c>
      <c r="H20" s="433">
        <f t="shared" si="1"/>
        <v>0</v>
      </c>
      <c r="I20" s="433">
        <f t="shared" si="1"/>
        <v>0</v>
      </c>
      <c r="J20" s="433">
        <f t="shared" si="1"/>
        <v>0</v>
      </c>
      <c r="K20" s="433">
        <f t="shared" si="1"/>
        <v>0</v>
      </c>
      <c r="L20" s="433">
        <f t="shared" si="1"/>
        <v>0</v>
      </c>
      <c r="M20" s="433">
        <f t="shared" si="1"/>
        <v>0</v>
      </c>
      <c r="N20" s="433">
        <f t="shared" si="1"/>
        <v>0</v>
      </c>
      <c r="O20" s="433">
        <f t="shared" si="1"/>
        <v>0</v>
      </c>
      <c r="P20" s="433" t="e">
        <f t="shared" si="1"/>
        <v>#N/A</v>
      </c>
      <c r="Q20" s="433" t="e">
        <f t="shared" si="1"/>
        <v>#N/A</v>
      </c>
      <c r="R20" s="433" t="e">
        <f t="shared" si="1"/>
        <v>#N/A</v>
      </c>
      <c r="S20" s="433" t="e">
        <f t="shared" si="1"/>
        <v>#N/A</v>
      </c>
      <c r="T20" s="433" t="e">
        <f t="shared" si="1"/>
        <v>#N/A</v>
      </c>
      <c r="U20" s="433" t="e">
        <f t="shared" si="1"/>
        <v>#N/A</v>
      </c>
      <c r="V20" s="433" t="e">
        <f t="shared" si="1"/>
        <v>#N/A</v>
      </c>
      <c r="W20" s="433" t="e">
        <f t="shared" si="1"/>
        <v>#N/A</v>
      </c>
      <c r="X20" s="433" t="e">
        <f t="shared" si="1"/>
        <v>#N/A</v>
      </c>
      <c r="Y20" s="433" t="e">
        <f t="shared" si="1"/>
        <v>#N/A</v>
      </c>
      <c r="Z20" s="37"/>
    </row>
    <row r="21" spans="1:26" x14ac:dyDescent="0.15">
      <c r="A21" s="37"/>
      <c r="B21" s="502"/>
      <c r="C21" s="506" t="s">
        <v>9</v>
      </c>
      <c r="D21" s="330" t="s">
        <v>56</v>
      </c>
      <c r="E21" s="434">
        <f>IF((E8=""),"",+SUM(E13:E17)+E20)</f>
        <v>500000</v>
      </c>
      <c r="F21" s="434">
        <f>IF((F8=""),"",+SUM(F13:F17)+F20)</f>
        <v>384065.93406593404</v>
      </c>
      <c r="G21" s="434">
        <f t="shared" ref="G21:Y21" si="2">IF((G8=""),"",+SUM(G13:G17)+G20)</f>
        <v>565934.06593406596</v>
      </c>
      <c r="H21" s="434">
        <f t="shared" si="2"/>
        <v>956000</v>
      </c>
      <c r="I21" s="434">
        <f t="shared" si="2"/>
        <v>1804640</v>
      </c>
      <c r="J21" s="434">
        <f t="shared" si="2"/>
        <v>2037726.0799999998</v>
      </c>
      <c r="K21" s="434">
        <f t="shared" si="2"/>
        <v>2161675.1743999999</v>
      </c>
      <c r="L21" s="434">
        <f t="shared" si="2"/>
        <v>2466488.0706560002</v>
      </c>
      <c r="M21" s="434">
        <f t="shared" si="2"/>
        <v>2887789.8062336002</v>
      </c>
      <c r="N21" s="434">
        <f t="shared" si="2"/>
        <v>2666161.0421224446</v>
      </c>
      <c r="O21" s="434">
        <f t="shared" si="2"/>
        <v>2622051.5124847121</v>
      </c>
      <c r="P21" s="434" t="e">
        <f t="shared" si="2"/>
        <v>#N/A</v>
      </c>
      <c r="Q21" s="434" t="e">
        <f t="shared" si="2"/>
        <v>#N/A</v>
      </c>
      <c r="R21" s="434" t="e">
        <f t="shared" si="2"/>
        <v>#N/A</v>
      </c>
      <c r="S21" s="434" t="e">
        <f t="shared" si="2"/>
        <v>#N/A</v>
      </c>
      <c r="T21" s="434" t="e">
        <f t="shared" si="2"/>
        <v>#N/A</v>
      </c>
      <c r="U21" s="434" t="e">
        <f t="shared" si="2"/>
        <v>#N/A</v>
      </c>
      <c r="V21" s="434" t="e">
        <f t="shared" si="2"/>
        <v>#N/A</v>
      </c>
      <c r="W21" s="434" t="e">
        <f t="shared" si="2"/>
        <v>#N/A</v>
      </c>
      <c r="X21" s="434" t="e">
        <f t="shared" si="2"/>
        <v>#N/A</v>
      </c>
      <c r="Y21" s="434" t="e">
        <f t="shared" si="2"/>
        <v>#N/A</v>
      </c>
      <c r="Z21" s="37"/>
    </row>
    <row r="22" spans="1:26" x14ac:dyDescent="0.15">
      <c r="A22" s="37"/>
      <c r="B22" s="502"/>
      <c r="C22" s="508"/>
      <c r="D22" s="331" t="s">
        <v>80</v>
      </c>
      <c r="E22" s="432">
        <f>IF((E8=""),"",+SUM(E13:E17)+E18)</f>
        <v>500000</v>
      </c>
      <c r="F22" s="432">
        <f>IF((F8=""),"",+SUM(F13:F17)+F18)</f>
        <v>1268131.8681318681</v>
      </c>
      <c r="G22" s="432">
        <f t="shared" ref="G22:Y22" si="3">IF((G8=""),"",+SUM(G13:G17)+G18)</f>
        <v>831868.13186813192</v>
      </c>
      <c r="H22" s="432">
        <f t="shared" si="3"/>
        <v>956000</v>
      </c>
      <c r="I22" s="432">
        <f t="shared" si="3"/>
        <v>1804640</v>
      </c>
      <c r="J22" s="432">
        <f t="shared" si="3"/>
        <v>2037726.0799999998</v>
      </c>
      <c r="K22" s="432">
        <f t="shared" si="3"/>
        <v>2161675.1743999999</v>
      </c>
      <c r="L22" s="432">
        <f t="shared" si="3"/>
        <v>2466488.0706560002</v>
      </c>
      <c r="M22" s="432">
        <f t="shared" si="3"/>
        <v>2887789.8062336002</v>
      </c>
      <c r="N22" s="432">
        <f t="shared" si="3"/>
        <v>2666161.0421224446</v>
      </c>
      <c r="O22" s="432">
        <f t="shared" si="3"/>
        <v>2622051.5124847121</v>
      </c>
      <c r="P22" s="432" t="e">
        <f t="shared" si="3"/>
        <v>#N/A</v>
      </c>
      <c r="Q22" s="432" t="e">
        <f t="shared" si="3"/>
        <v>#N/A</v>
      </c>
      <c r="R22" s="432" t="e">
        <f t="shared" si="3"/>
        <v>#N/A</v>
      </c>
      <c r="S22" s="432" t="e">
        <f t="shared" si="3"/>
        <v>#N/A</v>
      </c>
      <c r="T22" s="432" t="e">
        <f t="shared" si="3"/>
        <v>#N/A</v>
      </c>
      <c r="U22" s="432" t="e">
        <f t="shared" si="3"/>
        <v>#N/A</v>
      </c>
      <c r="V22" s="432" t="e">
        <f t="shared" si="3"/>
        <v>#N/A</v>
      </c>
      <c r="W22" s="432" t="e">
        <f t="shared" si="3"/>
        <v>#N/A</v>
      </c>
      <c r="X22" s="432" t="e">
        <f t="shared" si="3"/>
        <v>#N/A</v>
      </c>
      <c r="Y22" s="432" t="e">
        <f t="shared" si="3"/>
        <v>#N/A</v>
      </c>
      <c r="Z22" s="37"/>
    </row>
    <row r="23" spans="1:26" x14ac:dyDescent="0.15">
      <c r="A23" s="37"/>
      <c r="B23" s="502"/>
      <c r="C23" s="506" t="s">
        <v>0</v>
      </c>
      <c r="D23" s="332" t="s">
        <v>84</v>
      </c>
      <c r="E23" s="434">
        <f>+E12-E21</f>
        <v>-500000</v>
      </c>
      <c r="F23" s="434">
        <f>+F12-F21</f>
        <v>-384065.93406593404</v>
      </c>
      <c r="G23" s="434">
        <f t="shared" ref="G23:Y23" si="4">+G12-G21</f>
        <v>-320934.06593406596</v>
      </c>
      <c r="H23" s="434">
        <f t="shared" si="4"/>
        <v>316450</v>
      </c>
      <c r="I23" s="434">
        <f t="shared" si="4"/>
        <v>882453.10000000009</v>
      </c>
      <c r="J23" s="434">
        <f t="shared" si="4"/>
        <v>1187789.1058000003</v>
      </c>
      <c r="K23" s="434">
        <f t="shared" si="4"/>
        <v>1491563.1324844002</v>
      </c>
      <c r="L23" s="434">
        <f t="shared" si="4"/>
        <v>1889690.0643694787</v>
      </c>
      <c r="M23" s="434">
        <f t="shared" si="4"/>
        <v>2351086.5453294539</v>
      </c>
      <c r="N23" s="434">
        <f t="shared" si="4"/>
        <v>2530808.8614440695</v>
      </c>
      <c r="O23" s="434">
        <f t="shared" si="4"/>
        <v>2748656.4620625083</v>
      </c>
      <c r="P23" s="434" t="e">
        <f t="shared" si="4"/>
        <v>#N/A</v>
      </c>
      <c r="Q23" s="434" t="e">
        <f t="shared" si="4"/>
        <v>#N/A</v>
      </c>
      <c r="R23" s="434" t="e">
        <f t="shared" si="4"/>
        <v>#N/A</v>
      </c>
      <c r="S23" s="434" t="e">
        <f t="shared" si="4"/>
        <v>#N/A</v>
      </c>
      <c r="T23" s="434" t="e">
        <f t="shared" si="4"/>
        <v>#N/A</v>
      </c>
      <c r="U23" s="434" t="e">
        <f t="shared" si="4"/>
        <v>#N/A</v>
      </c>
      <c r="V23" s="434" t="e">
        <f t="shared" si="4"/>
        <v>#N/A</v>
      </c>
      <c r="W23" s="434" t="e">
        <f t="shared" si="4"/>
        <v>#N/A</v>
      </c>
      <c r="X23" s="434" t="e">
        <f t="shared" si="4"/>
        <v>#N/A</v>
      </c>
      <c r="Y23" s="434" t="e">
        <f t="shared" si="4"/>
        <v>#N/A</v>
      </c>
      <c r="Z23" s="37"/>
    </row>
    <row r="24" spans="1:26" x14ac:dyDescent="0.15">
      <c r="A24" s="37"/>
      <c r="B24" s="502"/>
      <c r="C24" s="508"/>
      <c r="D24" s="331" t="s">
        <v>83</v>
      </c>
      <c r="E24" s="435">
        <f>+E12-E22</f>
        <v>-500000</v>
      </c>
      <c r="F24" s="435">
        <f>+F12-F22</f>
        <v>-1268131.8681318681</v>
      </c>
      <c r="G24" s="435">
        <f t="shared" ref="G24:Y24" si="5">+G12-G22</f>
        <v>-586868.13186813192</v>
      </c>
      <c r="H24" s="435">
        <f t="shared" si="5"/>
        <v>316450</v>
      </c>
      <c r="I24" s="435">
        <f t="shared" si="5"/>
        <v>882453.10000000009</v>
      </c>
      <c r="J24" s="435">
        <f t="shared" si="5"/>
        <v>1187789.1058000003</v>
      </c>
      <c r="K24" s="435">
        <f t="shared" si="5"/>
        <v>1491563.1324844002</v>
      </c>
      <c r="L24" s="435">
        <f t="shared" si="5"/>
        <v>1889690.0643694787</v>
      </c>
      <c r="M24" s="435">
        <f t="shared" si="5"/>
        <v>2351086.5453294539</v>
      </c>
      <c r="N24" s="435">
        <f t="shared" si="5"/>
        <v>2530808.8614440695</v>
      </c>
      <c r="O24" s="435">
        <f t="shared" si="5"/>
        <v>2748656.4620625083</v>
      </c>
      <c r="P24" s="435" t="e">
        <f t="shared" si="5"/>
        <v>#N/A</v>
      </c>
      <c r="Q24" s="435" t="e">
        <f t="shared" si="5"/>
        <v>#N/A</v>
      </c>
      <c r="R24" s="435" t="e">
        <f t="shared" si="5"/>
        <v>#N/A</v>
      </c>
      <c r="S24" s="435" t="e">
        <f t="shared" si="5"/>
        <v>#N/A</v>
      </c>
      <c r="T24" s="435" t="e">
        <f t="shared" si="5"/>
        <v>#N/A</v>
      </c>
      <c r="U24" s="435" t="e">
        <f t="shared" si="5"/>
        <v>#N/A</v>
      </c>
      <c r="V24" s="435" t="e">
        <f t="shared" si="5"/>
        <v>#N/A</v>
      </c>
      <c r="W24" s="435" t="e">
        <f t="shared" si="5"/>
        <v>#N/A</v>
      </c>
      <c r="X24" s="435" t="e">
        <f t="shared" si="5"/>
        <v>#N/A</v>
      </c>
      <c r="Y24" s="435" t="e">
        <f t="shared" si="5"/>
        <v>#N/A</v>
      </c>
      <c r="Z24" s="37"/>
    </row>
    <row r="25" spans="1:26" x14ac:dyDescent="0.15">
      <c r="A25" s="37"/>
      <c r="B25" s="502"/>
      <c r="C25" s="322" t="s">
        <v>108</v>
      </c>
      <c r="D25" s="324" t="s">
        <v>108</v>
      </c>
      <c r="E25" s="435">
        <f>HLOOKUP(E$8,SUPPORT!$T$5:$AN$19,14,FALSE)</f>
        <v>0</v>
      </c>
      <c r="F25" s="435">
        <f>HLOOKUP(F$8,SUPPORT!$T$5:$AN$19,14,FALSE)</f>
        <v>0</v>
      </c>
      <c r="G25" s="435">
        <f>HLOOKUP(G$8,SUPPORT!$T$5:$AN$19,14,FALSE)</f>
        <v>0</v>
      </c>
      <c r="H25" s="435">
        <f>HLOOKUP(H$8,SUPPORT!$T$5:$AN$19,14,FALSE)</f>
        <v>4000</v>
      </c>
      <c r="I25" s="435">
        <f>HLOOKUP(I$8,SUPPORT!$T$5:$AN$19,14,FALSE)</f>
        <v>4000</v>
      </c>
      <c r="J25" s="435">
        <f>HLOOKUP(J$8,SUPPORT!$T$5:$AN$19,14,FALSE)</f>
        <v>4000</v>
      </c>
      <c r="K25" s="435">
        <f>HLOOKUP(K$8,SUPPORT!$T$5:$AN$19,14,FALSE)</f>
        <v>4000</v>
      </c>
      <c r="L25" s="435">
        <f>HLOOKUP(L$8,SUPPORT!$T$5:$AN$19,14,FALSE)</f>
        <v>4000</v>
      </c>
      <c r="M25" s="435">
        <f>HLOOKUP(M$8,SUPPORT!$T$5:$AN$19,14,FALSE)</f>
        <v>0</v>
      </c>
      <c r="N25" s="435">
        <f>HLOOKUP(N$8,SUPPORT!$T$5:$AN$19,14,FALSE)</f>
        <v>0</v>
      </c>
      <c r="O25" s="435">
        <f>HLOOKUP(O$8,SUPPORT!$T$5:$AN$19,14,FALSE)</f>
        <v>0</v>
      </c>
      <c r="P25" s="435" t="e">
        <f>HLOOKUP(P$8,SUPPORT!$T$5:$AN$19,14,FALSE)</f>
        <v>#N/A</v>
      </c>
      <c r="Q25" s="435" t="e">
        <f>HLOOKUP(Q$8,SUPPORT!$T$5:$AN$19,14,FALSE)</f>
        <v>#N/A</v>
      </c>
      <c r="R25" s="435" t="e">
        <f>HLOOKUP(R$8,SUPPORT!$T$5:$AN$19,14,FALSE)</f>
        <v>#N/A</v>
      </c>
      <c r="S25" s="435" t="e">
        <f>HLOOKUP(S$8,SUPPORT!$T$5:$AN$19,14,FALSE)</f>
        <v>#N/A</v>
      </c>
      <c r="T25" s="435" t="e">
        <f>HLOOKUP(T$8,SUPPORT!$T$5:$AN$19,14,FALSE)</f>
        <v>#N/A</v>
      </c>
      <c r="U25" s="435" t="e">
        <f>HLOOKUP(U$8,SUPPORT!$T$5:$AN$19,14,FALSE)</f>
        <v>#N/A</v>
      </c>
      <c r="V25" s="435" t="e">
        <f>HLOOKUP(V$8,SUPPORT!$T$5:$AN$19,14,FALSE)</f>
        <v>#N/A</v>
      </c>
      <c r="W25" s="435" t="e">
        <f>HLOOKUP(W$8,SUPPORT!$T$5:$AN$19,14,FALSE)</f>
        <v>#N/A</v>
      </c>
      <c r="X25" s="435" t="e">
        <f>HLOOKUP(X$8,SUPPORT!$T$5:$AN$19,14,FALSE)</f>
        <v>#N/A</v>
      </c>
      <c r="Y25" s="435" t="e">
        <f>HLOOKUP(Y$8,SUPPORT!$T$5:$AN$19,14,FALSE)</f>
        <v>#N/A</v>
      </c>
      <c r="Z25" s="37"/>
    </row>
    <row r="26" spans="1:26" x14ac:dyDescent="0.15">
      <c r="A26" s="37"/>
      <c r="B26" s="502"/>
      <c r="C26" s="509" t="s">
        <v>87</v>
      </c>
      <c r="D26" s="332" t="s">
        <v>85</v>
      </c>
      <c r="E26" s="434">
        <f>+E23-E25</f>
        <v>-500000</v>
      </c>
      <c r="F26" s="434">
        <f>+F23-F25</f>
        <v>-384065.93406593404</v>
      </c>
      <c r="G26" s="434">
        <f>+G23-G25</f>
        <v>-320934.06593406596</v>
      </c>
      <c r="H26" s="434">
        <f t="shared" ref="H26:Y26" si="6">+H23-H25</f>
        <v>312450</v>
      </c>
      <c r="I26" s="434">
        <f t="shared" si="6"/>
        <v>878453.10000000009</v>
      </c>
      <c r="J26" s="434">
        <f t="shared" si="6"/>
        <v>1183789.1058000003</v>
      </c>
      <c r="K26" s="434">
        <f t="shared" si="6"/>
        <v>1487563.1324844002</v>
      </c>
      <c r="L26" s="434">
        <f t="shared" si="6"/>
        <v>1885690.0643694787</v>
      </c>
      <c r="M26" s="434">
        <f t="shared" si="6"/>
        <v>2351086.5453294539</v>
      </c>
      <c r="N26" s="434">
        <f t="shared" si="6"/>
        <v>2530808.8614440695</v>
      </c>
      <c r="O26" s="434">
        <f t="shared" si="6"/>
        <v>2748656.4620625083</v>
      </c>
      <c r="P26" s="434" t="e">
        <f t="shared" si="6"/>
        <v>#N/A</v>
      </c>
      <c r="Q26" s="434" t="e">
        <f t="shared" si="6"/>
        <v>#N/A</v>
      </c>
      <c r="R26" s="434" t="e">
        <f t="shared" si="6"/>
        <v>#N/A</v>
      </c>
      <c r="S26" s="434" t="e">
        <f t="shared" si="6"/>
        <v>#N/A</v>
      </c>
      <c r="T26" s="434" t="e">
        <f t="shared" si="6"/>
        <v>#N/A</v>
      </c>
      <c r="U26" s="434" t="e">
        <f t="shared" si="6"/>
        <v>#N/A</v>
      </c>
      <c r="V26" s="434" t="e">
        <f t="shared" si="6"/>
        <v>#N/A</v>
      </c>
      <c r="W26" s="434" t="e">
        <f t="shared" si="6"/>
        <v>#N/A</v>
      </c>
      <c r="X26" s="434" t="e">
        <f t="shared" si="6"/>
        <v>#N/A</v>
      </c>
      <c r="Y26" s="434" t="e">
        <f t="shared" si="6"/>
        <v>#N/A</v>
      </c>
      <c r="Z26" s="37"/>
    </row>
    <row r="27" spans="1:26" x14ac:dyDescent="0.15">
      <c r="A27" s="37"/>
      <c r="B27" s="502"/>
      <c r="C27" s="510"/>
      <c r="D27" s="331" t="s">
        <v>86</v>
      </c>
      <c r="E27" s="435">
        <f>+E24-E25</f>
        <v>-500000</v>
      </c>
      <c r="F27" s="435">
        <f>+F24-F25</f>
        <v>-1268131.8681318681</v>
      </c>
      <c r="G27" s="435">
        <f t="shared" ref="G27:Y27" si="7">+G24-G25</f>
        <v>-586868.13186813192</v>
      </c>
      <c r="H27" s="435">
        <f t="shared" si="7"/>
        <v>312450</v>
      </c>
      <c r="I27" s="435">
        <f t="shared" si="7"/>
        <v>878453.10000000009</v>
      </c>
      <c r="J27" s="435">
        <f t="shared" si="7"/>
        <v>1183789.1058000003</v>
      </c>
      <c r="K27" s="435">
        <f t="shared" si="7"/>
        <v>1487563.1324844002</v>
      </c>
      <c r="L27" s="435">
        <f t="shared" si="7"/>
        <v>1885690.0643694787</v>
      </c>
      <c r="M27" s="435">
        <f t="shared" si="7"/>
        <v>2351086.5453294539</v>
      </c>
      <c r="N27" s="435">
        <f t="shared" si="7"/>
        <v>2530808.8614440695</v>
      </c>
      <c r="O27" s="435">
        <f t="shared" si="7"/>
        <v>2748656.4620625083</v>
      </c>
      <c r="P27" s="435" t="e">
        <f t="shared" si="7"/>
        <v>#N/A</v>
      </c>
      <c r="Q27" s="435" t="e">
        <f t="shared" si="7"/>
        <v>#N/A</v>
      </c>
      <c r="R27" s="435" t="e">
        <f t="shared" si="7"/>
        <v>#N/A</v>
      </c>
      <c r="S27" s="435" t="e">
        <f t="shared" si="7"/>
        <v>#N/A</v>
      </c>
      <c r="T27" s="435" t="e">
        <f t="shared" si="7"/>
        <v>#N/A</v>
      </c>
      <c r="U27" s="435" t="e">
        <f t="shared" si="7"/>
        <v>#N/A</v>
      </c>
      <c r="V27" s="435" t="e">
        <f t="shared" si="7"/>
        <v>#N/A</v>
      </c>
      <c r="W27" s="435" t="e">
        <f t="shared" si="7"/>
        <v>#N/A</v>
      </c>
      <c r="X27" s="435" t="e">
        <f t="shared" si="7"/>
        <v>#N/A</v>
      </c>
      <c r="Y27" s="435" t="e">
        <f t="shared" si="7"/>
        <v>#N/A</v>
      </c>
      <c r="Z27" s="37"/>
    </row>
    <row r="28" spans="1:26" ht="12.75" customHeight="1" x14ac:dyDescent="0.15">
      <c r="A28" s="37"/>
      <c r="B28" s="503" t="s">
        <v>106</v>
      </c>
      <c r="C28" s="322" t="s">
        <v>26</v>
      </c>
      <c r="D28" s="324" t="s">
        <v>26</v>
      </c>
      <c r="E28" s="435">
        <f>HLOOKUP(E$8,SUPPORT!$T$5:$AN$19,15,FALSE)</f>
        <v>0</v>
      </c>
      <c r="F28" s="435">
        <f>HLOOKUP(F$8,SUPPORT!$T$5:$AN$19,15,FALSE)</f>
        <v>0</v>
      </c>
      <c r="G28" s="435">
        <f>HLOOKUP(G$8,SUPPORT!$T$5:$AN$19,15,FALSE)</f>
        <v>0</v>
      </c>
      <c r="H28" s="435">
        <f>HLOOKUP(H$8,SUPPORT!$T$5:$AN$19,15,FALSE)</f>
        <v>-20000</v>
      </c>
      <c r="I28" s="435">
        <f>HLOOKUP(I$8,SUPPORT!$T$5:$AN$19,15,FALSE)</f>
        <v>0</v>
      </c>
      <c r="J28" s="435">
        <f>HLOOKUP(J$8,SUPPORT!$T$5:$AN$19,15,FALSE)</f>
        <v>0</v>
      </c>
      <c r="K28" s="435">
        <f>HLOOKUP(K$8,SUPPORT!$T$5:$AN$19,15,FALSE)</f>
        <v>0</v>
      </c>
      <c r="L28" s="435">
        <f>HLOOKUP(L$8,SUPPORT!$T$5:$AN$19,15,FALSE)</f>
        <v>0</v>
      </c>
      <c r="M28" s="435">
        <f>HLOOKUP(M$8,SUPPORT!$T$5:$AN$19,15,FALSE)</f>
        <v>0</v>
      </c>
      <c r="N28" s="435">
        <f>HLOOKUP(N$8,SUPPORT!$T$5:$AN$19,15,FALSE)</f>
        <v>0</v>
      </c>
      <c r="O28" s="435">
        <f>HLOOKUP(O$8,SUPPORT!$T$5:$AN$19,15,FALSE)</f>
        <v>0</v>
      </c>
      <c r="P28" s="435" t="e">
        <f>HLOOKUP(P$8,SUPPORT!$T$5:$AN$19,15,FALSE)</f>
        <v>#N/A</v>
      </c>
      <c r="Q28" s="435" t="e">
        <f>HLOOKUP(Q$8,SUPPORT!$T$5:$AN$19,15,FALSE)</f>
        <v>#N/A</v>
      </c>
      <c r="R28" s="435" t="e">
        <f>HLOOKUP(R$8,SUPPORT!$T$5:$AN$19,15,FALSE)</f>
        <v>#N/A</v>
      </c>
      <c r="S28" s="435" t="e">
        <f>HLOOKUP(S$8,SUPPORT!$T$5:$AN$19,15,FALSE)</f>
        <v>#N/A</v>
      </c>
      <c r="T28" s="435" t="e">
        <f>HLOOKUP(T$8,SUPPORT!$T$5:$AN$19,15,FALSE)</f>
        <v>#N/A</v>
      </c>
      <c r="U28" s="435" t="e">
        <f>HLOOKUP(U$8,SUPPORT!$T$5:$AN$19,15,FALSE)</f>
        <v>#N/A</v>
      </c>
      <c r="V28" s="435" t="e">
        <f>HLOOKUP(V$8,SUPPORT!$T$5:$AN$19,15,FALSE)</f>
        <v>#N/A</v>
      </c>
      <c r="W28" s="435" t="e">
        <f>HLOOKUP(W$8,SUPPORT!$T$5:$AN$19,15,FALSE)</f>
        <v>#N/A</v>
      </c>
      <c r="X28" s="435" t="e">
        <f>HLOOKUP(X$8,SUPPORT!$T$5:$AN$19,15,FALSE)</f>
        <v>#N/A</v>
      </c>
      <c r="Y28" s="435" t="e">
        <f>HLOOKUP(Y$8,SUPPORT!$T$5:$AN$19,15,FALSE)</f>
        <v>#N/A</v>
      </c>
      <c r="Z28" s="37"/>
    </row>
    <row r="29" spans="1:26" ht="12.75" customHeight="1" x14ac:dyDescent="0.15">
      <c r="A29" s="37"/>
      <c r="B29" s="504"/>
      <c r="C29" s="499" t="s">
        <v>91</v>
      </c>
      <c r="D29" s="330" t="s">
        <v>92</v>
      </c>
      <c r="E29" s="434">
        <f>IFERROR(IF(E26&lt;0,E26,E26*(1-$D$5))+E25+E28,"")</f>
        <v>-500000</v>
      </c>
      <c r="F29" s="434">
        <f t="shared" ref="F29:Y29" si="8">IFERROR(IF(F26&lt;0,F26,F26*(1-$D$5))+F25+F28,"")</f>
        <v>-384065.93406593404</v>
      </c>
      <c r="G29" s="434">
        <f t="shared" si="8"/>
        <v>-320934.06593406596</v>
      </c>
      <c r="H29" s="434">
        <f t="shared" si="8"/>
        <v>218337.5</v>
      </c>
      <c r="I29" s="434">
        <f t="shared" si="8"/>
        <v>662839.82500000007</v>
      </c>
      <c r="J29" s="434">
        <f t="shared" si="8"/>
        <v>891841.82935000025</v>
      </c>
      <c r="K29" s="434">
        <f t="shared" si="8"/>
        <v>1119672.3493633</v>
      </c>
      <c r="L29" s="434">
        <f t="shared" si="8"/>
        <v>1418267.5482771089</v>
      </c>
      <c r="M29" s="434">
        <f t="shared" si="8"/>
        <v>1763314.9089970905</v>
      </c>
      <c r="N29" s="434">
        <f t="shared" si="8"/>
        <v>1898106.6460830523</v>
      </c>
      <c r="O29" s="434">
        <f t="shared" si="8"/>
        <v>2061492.3465468814</v>
      </c>
      <c r="P29" s="434" t="str">
        <f t="shared" si="8"/>
        <v/>
      </c>
      <c r="Q29" s="434" t="str">
        <f t="shared" si="8"/>
        <v/>
      </c>
      <c r="R29" s="434" t="str">
        <f t="shared" si="8"/>
        <v/>
      </c>
      <c r="S29" s="434" t="str">
        <f t="shared" si="8"/>
        <v/>
      </c>
      <c r="T29" s="434" t="str">
        <f t="shared" si="8"/>
        <v/>
      </c>
      <c r="U29" s="434" t="str">
        <f t="shared" si="8"/>
        <v/>
      </c>
      <c r="V29" s="434" t="str">
        <f t="shared" si="8"/>
        <v/>
      </c>
      <c r="W29" s="434" t="str">
        <f t="shared" si="8"/>
        <v/>
      </c>
      <c r="X29" s="434" t="str">
        <f t="shared" si="8"/>
        <v/>
      </c>
      <c r="Y29" s="434" t="str">
        <f t="shared" si="8"/>
        <v/>
      </c>
      <c r="Z29" s="37"/>
    </row>
    <row r="30" spans="1:26" x14ac:dyDescent="0.15">
      <c r="A30" s="37"/>
      <c r="B30" s="504"/>
      <c r="C30" s="499"/>
      <c r="D30" s="333" t="s">
        <v>93</v>
      </c>
      <c r="E30" s="432">
        <f>IFERROR(IF(E27&lt;0,E27,E27*(1-$D$5))+E25+E28,"")</f>
        <v>-500000</v>
      </c>
      <c r="F30" s="432">
        <f t="shared" ref="F30:Y30" si="9">IFERROR(IF(F27&lt;0,F27,F27*(1-$D$5))+F25+F28,"")</f>
        <v>-1268131.8681318681</v>
      </c>
      <c r="G30" s="432">
        <f t="shared" si="9"/>
        <v>-586868.13186813192</v>
      </c>
      <c r="H30" s="432">
        <f t="shared" si="9"/>
        <v>218337.5</v>
      </c>
      <c r="I30" s="432">
        <f t="shared" si="9"/>
        <v>662839.82500000007</v>
      </c>
      <c r="J30" s="432">
        <f t="shared" si="9"/>
        <v>891841.82935000025</v>
      </c>
      <c r="K30" s="432">
        <f t="shared" si="9"/>
        <v>1119672.3493633</v>
      </c>
      <c r="L30" s="432">
        <f t="shared" si="9"/>
        <v>1418267.5482771089</v>
      </c>
      <c r="M30" s="432">
        <f t="shared" si="9"/>
        <v>1763314.9089970905</v>
      </c>
      <c r="N30" s="432">
        <f t="shared" si="9"/>
        <v>1898106.6460830523</v>
      </c>
      <c r="O30" s="432">
        <f t="shared" si="9"/>
        <v>2061492.3465468814</v>
      </c>
      <c r="P30" s="432" t="str">
        <f t="shared" si="9"/>
        <v/>
      </c>
      <c r="Q30" s="432" t="str">
        <f t="shared" si="9"/>
        <v/>
      </c>
      <c r="R30" s="432" t="str">
        <f t="shared" si="9"/>
        <v/>
      </c>
      <c r="S30" s="432" t="str">
        <f t="shared" si="9"/>
        <v/>
      </c>
      <c r="T30" s="432" t="str">
        <f t="shared" si="9"/>
        <v/>
      </c>
      <c r="U30" s="432" t="str">
        <f t="shared" si="9"/>
        <v/>
      </c>
      <c r="V30" s="432" t="str">
        <f t="shared" si="9"/>
        <v/>
      </c>
      <c r="W30" s="432" t="str">
        <f t="shared" si="9"/>
        <v/>
      </c>
      <c r="X30" s="432" t="str">
        <f t="shared" si="9"/>
        <v/>
      </c>
      <c r="Y30" s="432" t="str">
        <f t="shared" si="9"/>
        <v/>
      </c>
      <c r="Z30" s="37"/>
    </row>
    <row r="31" spans="1:26" x14ac:dyDescent="0.15">
      <c r="A31" s="37"/>
      <c r="B31" s="504"/>
      <c r="C31" s="499" t="s">
        <v>90</v>
      </c>
      <c r="D31" s="334" t="s">
        <v>94</v>
      </c>
      <c r="E31" s="434">
        <f>IFERROR(IF(ISNUMBER(E29),IF(ISNUMBER(D31),E29+D31,E29),NA()),NA())</f>
        <v>-500000</v>
      </c>
      <c r="F31" s="434">
        <f t="shared" ref="F31:Y31" si="10">IFERROR(IF(ISNUMBER(F29),IF(ISNUMBER(E31),F29+E31,F29),NA()),NA())</f>
        <v>-884065.93406593404</v>
      </c>
      <c r="G31" s="434">
        <f t="shared" si="10"/>
        <v>-1205000</v>
      </c>
      <c r="H31" s="434">
        <f t="shared" si="10"/>
        <v>-986662.5</v>
      </c>
      <c r="I31" s="434">
        <f t="shared" si="10"/>
        <v>-323822.67499999993</v>
      </c>
      <c r="J31" s="434">
        <f t="shared" si="10"/>
        <v>568019.15435000032</v>
      </c>
      <c r="K31" s="434">
        <f t="shared" si="10"/>
        <v>1687691.5037133005</v>
      </c>
      <c r="L31" s="434">
        <f t="shared" si="10"/>
        <v>3105959.0519904094</v>
      </c>
      <c r="M31" s="434">
        <f t="shared" si="10"/>
        <v>4869273.9609874999</v>
      </c>
      <c r="N31" s="434">
        <f t="shared" si="10"/>
        <v>6767380.6070705522</v>
      </c>
      <c r="O31" s="434">
        <f t="shared" si="10"/>
        <v>8828872.9536174331</v>
      </c>
      <c r="P31" s="434" t="e">
        <f t="shared" si="10"/>
        <v>#N/A</v>
      </c>
      <c r="Q31" s="434" t="e">
        <f t="shared" si="10"/>
        <v>#N/A</v>
      </c>
      <c r="R31" s="434" t="e">
        <f t="shared" si="10"/>
        <v>#N/A</v>
      </c>
      <c r="S31" s="434" t="e">
        <f t="shared" si="10"/>
        <v>#N/A</v>
      </c>
      <c r="T31" s="434" t="e">
        <f t="shared" si="10"/>
        <v>#N/A</v>
      </c>
      <c r="U31" s="434" t="e">
        <f t="shared" si="10"/>
        <v>#N/A</v>
      </c>
      <c r="V31" s="434" t="e">
        <f t="shared" si="10"/>
        <v>#N/A</v>
      </c>
      <c r="W31" s="434" t="e">
        <f t="shared" si="10"/>
        <v>#N/A</v>
      </c>
      <c r="X31" s="434" t="e">
        <f t="shared" si="10"/>
        <v>#N/A</v>
      </c>
      <c r="Y31" s="434" t="e">
        <f t="shared" si="10"/>
        <v>#N/A</v>
      </c>
      <c r="Z31" s="37"/>
    </row>
    <row r="32" spans="1:26" x14ac:dyDescent="0.15">
      <c r="A32" s="37"/>
      <c r="B32" s="504"/>
      <c r="C32" s="499"/>
      <c r="D32" s="336" t="s">
        <v>95</v>
      </c>
      <c r="E32" s="436">
        <f>IFERROR(IF(ISNUMBER(E30),IF(ISNUMBER(D32),E30+D32,E30),NA()),NA())</f>
        <v>-500000</v>
      </c>
      <c r="F32" s="436">
        <f t="shared" ref="F32:Y32" si="11">IFERROR(IF(ISNUMBER(F30),IF(ISNUMBER(E32),F30+E32,F30),NA()),NA())</f>
        <v>-1768131.8681318681</v>
      </c>
      <c r="G32" s="436">
        <f t="shared" si="11"/>
        <v>-2355000</v>
      </c>
      <c r="H32" s="436">
        <f t="shared" si="11"/>
        <v>-2136662.5</v>
      </c>
      <c r="I32" s="436">
        <f t="shared" si="11"/>
        <v>-1473822.6749999998</v>
      </c>
      <c r="J32" s="436">
        <f t="shared" si="11"/>
        <v>-581980.84564999957</v>
      </c>
      <c r="K32" s="436">
        <f t="shared" si="11"/>
        <v>537691.50371330045</v>
      </c>
      <c r="L32" s="436">
        <f t="shared" si="11"/>
        <v>1955959.0519904094</v>
      </c>
      <c r="M32" s="436">
        <f t="shared" si="11"/>
        <v>3719273.9609874999</v>
      </c>
      <c r="N32" s="436">
        <f t="shared" si="11"/>
        <v>5617380.6070705522</v>
      </c>
      <c r="O32" s="436">
        <f t="shared" si="11"/>
        <v>7678872.9536174331</v>
      </c>
      <c r="P32" s="436" t="e">
        <f t="shared" si="11"/>
        <v>#N/A</v>
      </c>
      <c r="Q32" s="436" t="e">
        <f t="shared" si="11"/>
        <v>#N/A</v>
      </c>
      <c r="R32" s="436" t="e">
        <f t="shared" si="11"/>
        <v>#N/A</v>
      </c>
      <c r="S32" s="436" t="e">
        <f t="shared" si="11"/>
        <v>#N/A</v>
      </c>
      <c r="T32" s="436" t="e">
        <f t="shared" si="11"/>
        <v>#N/A</v>
      </c>
      <c r="U32" s="436" t="e">
        <f t="shared" si="11"/>
        <v>#N/A</v>
      </c>
      <c r="V32" s="436" t="e">
        <f t="shared" si="11"/>
        <v>#N/A</v>
      </c>
      <c r="W32" s="436" t="e">
        <f t="shared" si="11"/>
        <v>#N/A</v>
      </c>
      <c r="X32" s="436" t="e">
        <f t="shared" si="11"/>
        <v>#N/A</v>
      </c>
      <c r="Y32" s="436" t="e">
        <f t="shared" si="11"/>
        <v>#N/A</v>
      </c>
      <c r="Z32" s="37"/>
    </row>
    <row r="33" spans="1:26" x14ac:dyDescent="0.15">
      <c r="A33" s="37"/>
      <c r="B33" s="504"/>
      <c r="C33" s="499" t="s">
        <v>89</v>
      </c>
      <c r="D33" s="330" t="s">
        <v>96</v>
      </c>
      <c r="E33" s="434">
        <f>IFERROR((E29/(1+$D$4)^(E$8)),NA())</f>
        <v>-500000</v>
      </c>
      <c r="F33" s="434">
        <f t="shared" ref="F33:Y33" si="12">IFERROR((F29/(1+$D$4)^(F$8)),NA())</f>
        <v>-349150.8491508491</v>
      </c>
      <c r="G33" s="434">
        <f t="shared" si="12"/>
        <v>-265234.76523476519</v>
      </c>
      <c r="H33" s="434">
        <f t="shared" si="12"/>
        <v>164040.19534184819</v>
      </c>
      <c r="I33" s="434">
        <f t="shared" si="12"/>
        <v>452728.51922682871</v>
      </c>
      <c r="J33" s="434">
        <f t="shared" si="12"/>
        <v>553763.60863949929</v>
      </c>
      <c r="K33" s="434">
        <f t="shared" si="12"/>
        <v>632025.85141764779</v>
      </c>
      <c r="L33" s="434">
        <f t="shared" si="12"/>
        <v>727795.50622155878</v>
      </c>
      <c r="M33" s="434">
        <f t="shared" si="12"/>
        <v>822599.41868099675</v>
      </c>
      <c r="N33" s="434">
        <f t="shared" si="12"/>
        <v>804982.50802080706</v>
      </c>
      <c r="O33" s="434">
        <f t="shared" si="12"/>
        <v>794794.54042148823</v>
      </c>
      <c r="P33" s="434" t="e">
        <f t="shared" si="12"/>
        <v>#N/A</v>
      </c>
      <c r="Q33" s="434" t="e">
        <f t="shared" si="12"/>
        <v>#N/A</v>
      </c>
      <c r="R33" s="434" t="e">
        <f t="shared" si="12"/>
        <v>#N/A</v>
      </c>
      <c r="S33" s="434" t="e">
        <f t="shared" si="12"/>
        <v>#N/A</v>
      </c>
      <c r="T33" s="434" t="e">
        <f t="shared" si="12"/>
        <v>#N/A</v>
      </c>
      <c r="U33" s="434" t="e">
        <f t="shared" si="12"/>
        <v>#N/A</v>
      </c>
      <c r="V33" s="434" t="e">
        <f t="shared" si="12"/>
        <v>#N/A</v>
      </c>
      <c r="W33" s="434" t="e">
        <f t="shared" si="12"/>
        <v>#N/A</v>
      </c>
      <c r="X33" s="434" t="e">
        <f t="shared" si="12"/>
        <v>#N/A</v>
      </c>
      <c r="Y33" s="434" t="e">
        <f t="shared" si="12"/>
        <v>#N/A</v>
      </c>
      <c r="Z33" s="37"/>
    </row>
    <row r="34" spans="1:26" ht="14" thickBot="1" x14ac:dyDescent="0.2">
      <c r="A34" s="37"/>
      <c r="B34" s="505"/>
      <c r="C34" s="500"/>
      <c r="D34" s="337" t="s">
        <v>97</v>
      </c>
      <c r="E34" s="437">
        <f>IFERROR((E30/(1+$D$4)^(E$8)),NA())</f>
        <v>-500000</v>
      </c>
      <c r="F34" s="437">
        <f t="shared" ref="F34:Y34" si="13">IFERROR((F30/(1+$D$4)^(F$8)),NA())</f>
        <v>-1152847.1528471527</v>
      </c>
      <c r="G34" s="437">
        <f t="shared" si="13"/>
        <v>-485014.98501498497</v>
      </c>
      <c r="H34" s="437">
        <f t="shared" si="13"/>
        <v>164040.19534184819</v>
      </c>
      <c r="I34" s="437">
        <f t="shared" si="13"/>
        <v>452728.51922682871</v>
      </c>
      <c r="J34" s="437">
        <f t="shared" si="13"/>
        <v>553763.60863949929</v>
      </c>
      <c r="K34" s="437">
        <f t="shared" si="13"/>
        <v>632025.85141764779</v>
      </c>
      <c r="L34" s="437">
        <f t="shared" si="13"/>
        <v>727795.50622155878</v>
      </c>
      <c r="M34" s="437">
        <f t="shared" si="13"/>
        <v>822599.41868099675</v>
      </c>
      <c r="N34" s="437">
        <f t="shared" si="13"/>
        <v>804982.50802080706</v>
      </c>
      <c r="O34" s="437">
        <f t="shared" si="13"/>
        <v>794794.54042148823</v>
      </c>
      <c r="P34" s="437" t="e">
        <f t="shared" si="13"/>
        <v>#N/A</v>
      </c>
      <c r="Q34" s="437" t="e">
        <f t="shared" si="13"/>
        <v>#N/A</v>
      </c>
      <c r="R34" s="437" t="e">
        <f t="shared" si="13"/>
        <v>#N/A</v>
      </c>
      <c r="S34" s="437" t="e">
        <f t="shared" si="13"/>
        <v>#N/A</v>
      </c>
      <c r="T34" s="437" t="e">
        <f t="shared" si="13"/>
        <v>#N/A</v>
      </c>
      <c r="U34" s="437" t="e">
        <f t="shared" si="13"/>
        <v>#N/A</v>
      </c>
      <c r="V34" s="437" t="e">
        <f t="shared" si="13"/>
        <v>#N/A</v>
      </c>
      <c r="W34" s="437" t="e">
        <f t="shared" si="13"/>
        <v>#N/A</v>
      </c>
      <c r="X34" s="437" t="e">
        <f t="shared" si="13"/>
        <v>#N/A</v>
      </c>
      <c r="Y34" s="437" t="e">
        <f t="shared" si="13"/>
        <v>#N/A</v>
      </c>
      <c r="Z34" s="335"/>
    </row>
    <row r="35" spans="1:26" x14ac:dyDescent="0.15">
      <c r="A35" s="37"/>
      <c r="B35" s="338"/>
      <c r="C35" s="339"/>
      <c r="D35" s="37"/>
      <c r="E35" s="37"/>
      <c r="F35" s="37"/>
      <c r="G35" s="37"/>
      <c r="H35" s="37"/>
      <c r="I35" s="37"/>
      <c r="J35" s="37"/>
      <c r="K35" s="37"/>
      <c r="L35" s="37"/>
      <c r="M35" s="37"/>
      <c r="N35" s="37"/>
      <c r="O35" s="340"/>
      <c r="P35" s="340"/>
      <c r="Q35" s="340"/>
      <c r="R35" s="340"/>
      <c r="S35" s="340"/>
      <c r="T35" s="340"/>
      <c r="U35" s="340"/>
      <c r="V35" s="340"/>
      <c r="W35" s="340"/>
      <c r="X35" s="340"/>
      <c r="Y35" s="340"/>
      <c r="Z35" s="37"/>
    </row>
    <row r="36" spans="1:26" x14ac:dyDescent="0.15">
      <c r="A36" s="37"/>
      <c r="B36" s="99" t="s">
        <v>107</v>
      </c>
      <c r="D36" s="37"/>
      <c r="F36" s="37"/>
      <c r="G36" s="37"/>
      <c r="H36" s="37"/>
      <c r="I36" s="99" t="s">
        <v>78</v>
      </c>
      <c r="J36" s="37"/>
      <c r="K36" s="37"/>
      <c r="L36" s="37"/>
      <c r="N36" s="37"/>
      <c r="O36" s="341"/>
      <c r="P36" s="340"/>
      <c r="Q36" s="340"/>
      <c r="R36" s="340"/>
      <c r="S36" s="340"/>
      <c r="T36" s="340"/>
      <c r="U36" s="340"/>
      <c r="V36" s="340"/>
      <c r="W36" s="340"/>
      <c r="X36" s="340"/>
      <c r="Y36" s="340"/>
      <c r="Z36" s="37"/>
    </row>
    <row r="37" spans="1:26" x14ac:dyDescent="0.15">
      <c r="A37" s="37"/>
      <c r="B37" s="338"/>
      <c r="C37" s="37"/>
      <c r="D37" s="342"/>
      <c r="E37" s="343"/>
      <c r="F37" s="343"/>
      <c r="G37" s="343"/>
      <c r="H37" s="343"/>
      <c r="I37" s="343"/>
      <c r="J37" s="343"/>
      <c r="K37" s="343"/>
      <c r="L37" s="343"/>
      <c r="M37" s="37"/>
      <c r="N37" s="37"/>
      <c r="O37" s="340"/>
      <c r="P37" s="340"/>
      <c r="Q37" s="340"/>
      <c r="R37" s="340"/>
      <c r="S37" s="340"/>
      <c r="T37" s="340"/>
      <c r="U37" s="340"/>
      <c r="V37" s="340"/>
      <c r="W37" s="340"/>
      <c r="X37" s="340"/>
      <c r="Y37" s="340"/>
      <c r="Z37" s="37"/>
    </row>
    <row r="38" spans="1:26" x14ac:dyDescent="0.15">
      <c r="A38" s="37"/>
      <c r="B38" s="338"/>
      <c r="C38" s="37"/>
      <c r="D38" s="342"/>
      <c r="E38" s="343"/>
      <c r="F38" s="343"/>
      <c r="G38" s="343"/>
      <c r="H38" s="343"/>
      <c r="I38" s="343"/>
      <c r="J38" s="343"/>
      <c r="K38" s="343"/>
      <c r="L38" s="37"/>
      <c r="M38" s="37"/>
      <c r="N38" s="37"/>
      <c r="O38" s="340"/>
      <c r="P38" s="340"/>
      <c r="Q38" s="340"/>
      <c r="R38" s="340"/>
      <c r="S38" s="340"/>
      <c r="T38" s="340"/>
      <c r="U38" s="340"/>
      <c r="V38" s="340"/>
      <c r="W38" s="340"/>
      <c r="X38" s="340"/>
      <c r="Y38" s="340"/>
      <c r="Z38" s="37"/>
    </row>
    <row r="39" spans="1:26" x14ac:dyDescent="0.15">
      <c r="A39" s="37"/>
      <c r="B39" s="37"/>
      <c r="C39" s="37"/>
      <c r="D39" s="37"/>
      <c r="E39" s="37"/>
      <c r="F39" s="37"/>
      <c r="G39" s="37"/>
      <c r="H39" s="37"/>
      <c r="I39" s="37"/>
      <c r="J39" s="37"/>
      <c r="K39" s="37"/>
      <c r="L39" s="37"/>
      <c r="M39" s="37"/>
      <c r="N39" s="37"/>
      <c r="O39" s="340"/>
      <c r="P39" s="340"/>
      <c r="Q39" s="340"/>
      <c r="R39" s="340"/>
      <c r="S39" s="340"/>
      <c r="T39" s="340"/>
      <c r="U39" s="340"/>
      <c r="V39" s="340"/>
      <c r="W39" s="340"/>
      <c r="X39" s="340"/>
      <c r="Y39" s="340"/>
      <c r="Z39" s="37"/>
    </row>
    <row r="40" spans="1:26" x14ac:dyDescent="0.15">
      <c r="A40" s="37"/>
      <c r="B40" s="37"/>
      <c r="C40" s="37"/>
      <c r="D40" s="37"/>
      <c r="E40" s="37"/>
      <c r="F40" s="37"/>
      <c r="G40" s="37"/>
      <c r="H40" s="37"/>
      <c r="I40" s="37"/>
      <c r="J40" s="37"/>
      <c r="K40" s="37"/>
      <c r="L40" s="37"/>
      <c r="M40" s="37"/>
      <c r="N40" s="37"/>
      <c r="O40" s="340"/>
      <c r="P40" s="340"/>
      <c r="Q40" s="340"/>
      <c r="R40" s="340"/>
      <c r="S40" s="37"/>
      <c r="T40" s="37"/>
      <c r="U40" s="340"/>
      <c r="V40" s="340"/>
      <c r="W40" s="340"/>
      <c r="X40" s="340"/>
      <c r="Y40" s="340"/>
      <c r="Z40" s="37"/>
    </row>
    <row r="41" spans="1:26" x14ac:dyDescent="0.15">
      <c r="A41" s="37"/>
      <c r="B41" s="344"/>
      <c r="C41" s="37"/>
      <c r="D41" s="37"/>
      <c r="E41" s="37"/>
      <c r="F41" s="37"/>
      <c r="G41" s="37"/>
      <c r="H41" s="37"/>
      <c r="I41" s="37"/>
      <c r="J41" s="37"/>
      <c r="K41" s="37"/>
      <c r="L41" s="37"/>
      <c r="M41" s="37"/>
      <c r="N41" s="37"/>
      <c r="O41" s="340"/>
      <c r="P41" s="340"/>
      <c r="Q41" s="340"/>
      <c r="R41" s="340"/>
      <c r="S41" s="37"/>
      <c r="T41" s="37"/>
      <c r="U41" s="340"/>
      <c r="V41" s="340"/>
      <c r="W41" s="340"/>
      <c r="X41" s="340"/>
      <c r="Y41" s="340"/>
      <c r="Z41" s="37"/>
    </row>
    <row r="42" spans="1:26" x14ac:dyDescent="0.15">
      <c r="A42" s="37"/>
      <c r="B42" s="37"/>
      <c r="C42" s="37"/>
      <c r="D42" s="37"/>
      <c r="E42" s="37"/>
      <c r="F42" s="37"/>
      <c r="G42" s="37"/>
      <c r="H42" s="37"/>
      <c r="I42" s="37"/>
      <c r="J42" s="37"/>
      <c r="K42" s="37"/>
      <c r="L42" s="37"/>
      <c r="M42" s="37"/>
      <c r="N42" s="37"/>
      <c r="O42" s="340"/>
      <c r="P42" s="340"/>
      <c r="Q42" s="340"/>
      <c r="R42" s="340"/>
      <c r="S42" s="37"/>
      <c r="T42" s="37"/>
      <c r="U42" s="340"/>
      <c r="V42" s="340"/>
      <c r="W42" s="340"/>
      <c r="X42" s="340"/>
      <c r="Y42" s="340"/>
      <c r="Z42" s="37"/>
    </row>
    <row r="43" spans="1:26" x14ac:dyDescent="0.15">
      <c r="A43" s="37"/>
      <c r="B43" s="37"/>
      <c r="C43" s="37"/>
      <c r="D43" s="37"/>
      <c r="E43" s="37"/>
      <c r="F43" s="37"/>
      <c r="G43" s="37"/>
      <c r="H43" s="37"/>
      <c r="I43" s="37"/>
      <c r="J43" s="37"/>
      <c r="K43" s="37"/>
      <c r="L43" s="37"/>
      <c r="M43" s="37"/>
      <c r="N43" s="37"/>
      <c r="O43" s="340"/>
      <c r="P43" s="340"/>
      <c r="Q43" s="340"/>
      <c r="R43" s="340"/>
      <c r="S43" s="340"/>
      <c r="T43" s="340"/>
      <c r="U43" s="340"/>
      <c r="V43" s="340"/>
      <c r="W43" s="340"/>
      <c r="X43" s="340"/>
      <c r="Y43" s="340"/>
      <c r="Z43" s="37"/>
    </row>
    <row r="44" spans="1:26" x14ac:dyDescent="0.15">
      <c r="A44" s="37"/>
      <c r="B44" s="37"/>
      <c r="C44" s="37"/>
      <c r="D44" s="37"/>
      <c r="E44" s="37"/>
      <c r="F44" s="37"/>
      <c r="G44" s="37"/>
      <c r="H44" s="37"/>
      <c r="I44" s="37"/>
      <c r="J44" s="37"/>
      <c r="K44" s="37"/>
      <c r="L44" s="37"/>
      <c r="M44" s="37"/>
      <c r="N44" s="37"/>
      <c r="O44" s="340"/>
      <c r="P44" s="340"/>
      <c r="Q44" s="340"/>
      <c r="R44" s="340"/>
      <c r="S44" s="340"/>
      <c r="T44" s="340"/>
      <c r="U44" s="340"/>
      <c r="V44" s="340"/>
      <c r="W44" s="340"/>
      <c r="X44" s="340"/>
      <c r="Y44" s="340"/>
      <c r="Z44" s="37"/>
    </row>
    <row r="45" spans="1:26" x14ac:dyDescent="0.15">
      <c r="A45" s="37"/>
      <c r="B45" s="37"/>
      <c r="C45" s="37"/>
      <c r="D45" s="37"/>
      <c r="E45" s="37"/>
      <c r="F45" s="37"/>
      <c r="G45" s="37"/>
      <c r="H45" s="37"/>
      <c r="I45" s="37"/>
      <c r="J45" s="37"/>
      <c r="K45" s="37"/>
      <c r="L45" s="37"/>
      <c r="M45" s="37"/>
      <c r="N45" s="37"/>
      <c r="O45" s="340"/>
      <c r="P45" s="340"/>
      <c r="Q45" s="340"/>
      <c r="R45" s="340"/>
      <c r="S45" s="340"/>
      <c r="T45" s="340"/>
      <c r="U45" s="340"/>
      <c r="V45" s="340"/>
      <c r="W45" s="340"/>
      <c r="X45" s="340"/>
      <c r="Y45" s="340"/>
      <c r="Z45" s="37"/>
    </row>
    <row r="46" spans="1:26" x14ac:dyDescent="0.15">
      <c r="A46" s="37"/>
      <c r="B46" s="37"/>
      <c r="C46" s="37"/>
      <c r="D46" s="37"/>
      <c r="E46" s="37"/>
      <c r="F46" s="37"/>
      <c r="G46" s="37"/>
      <c r="H46" s="37"/>
      <c r="I46" s="37"/>
      <c r="J46" s="37"/>
      <c r="K46" s="37"/>
      <c r="L46" s="37"/>
      <c r="M46" s="37"/>
      <c r="N46" s="37"/>
      <c r="O46" s="340"/>
      <c r="P46" s="340"/>
      <c r="Q46" s="340"/>
      <c r="R46" s="340"/>
      <c r="S46" s="340"/>
      <c r="T46" s="340"/>
      <c r="U46" s="340"/>
      <c r="V46" s="340"/>
      <c r="W46" s="340"/>
      <c r="X46" s="340"/>
      <c r="Y46" s="340"/>
      <c r="Z46" s="37"/>
    </row>
    <row r="47" spans="1:26" x14ac:dyDescent="0.15">
      <c r="A47" s="37"/>
      <c r="B47" s="37"/>
      <c r="C47" s="37"/>
      <c r="D47" s="37"/>
      <c r="E47" s="37"/>
      <c r="F47" s="37"/>
      <c r="G47" s="37"/>
      <c r="H47" s="37"/>
      <c r="I47" s="37"/>
      <c r="J47" s="37"/>
      <c r="K47" s="37"/>
      <c r="L47" s="37"/>
      <c r="M47" s="37"/>
      <c r="N47" s="37"/>
      <c r="O47" s="340"/>
      <c r="P47" s="340"/>
      <c r="Q47" s="340"/>
      <c r="R47" s="340"/>
      <c r="S47" s="340"/>
      <c r="T47" s="340"/>
      <c r="U47" s="340"/>
      <c r="V47" s="340"/>
      <c r="W47" s="340"/>
      <c r="X47" s="340"/>
      <c r="Y47" s="340"/>
      <c r="Z47" s="37"/>
    </row>
    <row r="48" spans="1:26" x14ac:dyDescent="0.15">
      <c r="A48" s="37"/>
      <c r="B48" s="37"/>
      <c r="C48" s="37"/>
      <c r="D48" s="37"/>
      <c r="E48" s="37"/>
      <c r="F48" s="37"/>
      <c r="G48" s="37"/>
      <c r="H48" s="37"/>
      <c r="I48" s="37"/>
      <c r="J48" s="37"/>
      <c r="K48" s="37"/>
      <c r="L48" s="37"/>
      <c r="M48" s="37"/>
      <c r="N48" s="37"/>
      <c r="O48" s="340"/>
      <c r="P48" s="340"/>
      <c r="Q48" s="340"/>
      <c r="R48" s="340"/>
      <c r="S48" s="340"/>
      <c r="T48" s="340"/>
      <c r="U48" s="340"/>
      <c r="V48" s="340"/>
      <c r="W48" s="340"/>
      <c r="X48" s="340"/>
      <c r="Y48" s="340"/>
      <c r="Z48" s="37"/>
    </row>
    <row r="49" spans="1:26" x14ac:dyDescent="0.15">
      <c r="A49" s="37"/>
      <c r="B49" s="37"/>
      <c r="C49" s="37"/>
      <c r="D49" s="37"/>
      <c r="E49" s="37"/>
      <c r="F49" s="37"/>
      <c r="G49" s="37"/>
      <c r="H49" s="37"/>
      <c r="I49" s="37"/>
      <c r="J49" s="37"/>
      <c r="K49" s="37"/>
      <c r="L49" s="37"/>
      <c r="M49" s="37"/>
      <c r="N49" s="37"/>
      <c r="O49" s="340"/>
      <c r="P49" s="340"/>
      <c r="Q49" s="340"/>
      <c r="R49" s="340"/>
      <c r="S49" s="340"/>
      <c r="T49" s="340"/>
      <c r="U49" s="340"/>
      <c r="V49" s="340"/>
      <c r="W49" s="340"/>
      <c r="X49" s="340"/>
      <c r="Y49" s="340"/>
      <c r="Z49" s="37"/>
    </row>
    <row r="50" spans="1:26" x14ac:dyDescent="0.15">
      <c r="A50" s="37"/>
      <c r="B50" s="37"/>
      <c r="C50" s="37"/>
      <c r="D50" s="37"/>
      <c r="E50" s="37"/>
      <c r="F50" s="37"/>
      <c r="G50" s="37"/>
      <c r="H50" s="37"/>
      <c r="I50" s="37"/>
      <c r="J50" s="37"/>
      <c r="K50" s="37"/>
      <c r="L50" s="37"/>
      <c r="M50" s="37"/>
      <c r="N50" s="37"/>
      <c r="O50" s="340"/>
      <c r="P50" s="340"/>
      <c r="Q50" s="340"/>
      <c r="R50" s="340"/>
      <c r="S50" s="340"/>
      <c r="T50" s="340"/>
      <c r="U50" s="340"/>
      <c r="V50" s="340"/>
      <c r="W50" s="340"/>
      <c r="X50" s="340"/>
      <c r="Y50" s="340"/>
      <c r="Z50" s="37"/>
    </row>
    <row r="51" spans="1:26" ht="14" thickBot="1" x14ac:dyDescent="0.2">
      <c r="A51" s="37"/>
      <c r="B51" s="37"/>
      <c r="C51" s="37"/>
      <c r="D51" s="37"/>
      <c r="E51" s="37"/>
      <c r="F51" s="340"/>
      <c r="G51" s="340"/>
      <c r="H51" s="340"/>
      <c r="I51" s="340"/>
      <c r="J51" s="340"/>
      <c r="K51" s="340"/>
      <c r="L51" s="37"/>
      <c r="M51" s="37"/>
      <c r="N51" s="37"/>
      <c r="O51" s="340"/>
      <c r="P51" s="340"/>
      <c r="Q51" s="340"/>
      <c r="R51" s="340"/>
      <c r="S51" s="340"/>
      <c r="T51" s="340"/>
      <c r="U51" s="340"/>
      <c r="V51" s="340"/>
      <c r="W51" s="340"/>
      <c r="X51" s="340"/>
      <c r="Y51" s="340"/>
      <c r="Z51" s="37"/>
    </row>
    <row r="52" spans="1:26" x14ac:dyDescent="0.15">
      <c r="A52" s="37"/>
      <c r="B52" s="37"/>
      <c r="C52" s="37"/>
      <c r="D52" s="37"/>
      <c r="E52" s="497" t="s">
        <v>60</v>
      </c>
      <c r="F52" s="498"/>
      <c r="G52" s="37"/>
      <c r="H52" s="37"/>
      <c r="I52" s="37"/>
      <c r="J52" s="37"/>
      <c r="K52" s="37"/>
      <c r="L52" s="37"/>
      <c r="M52" s="37"/>
      <c r="N52" s="497" t="s">
        <v>59</v>
      </c>
      <c r="O52" s="498"/>
      <c r="P52" s="340"/>
      <c r="Q52" s="340"/>
      <c r="R52" s="340"/>
      <c r="S52" s="340"/>
      <c r="T52" s="340"/>
      <c r="U52" s="340"/>
      <c r="V52" s="340"/>
      <c r="W52" s="340"/>
      <c r="X52" s="340"/>
      <c r="Y52" s="340"/>
      <c r="Z52" s="37"/>
    </row>
    <row r="53" spans="1:26" x14ac:dyDescent="0.15">
      <c r="A53" s="37"/>
      <c r="B53" s="37"/>
      <c r="C53" s="37"/>
      <c r="D53" s="345"/>
      <c r="E53" s="346" t="s">
        <v>61</v>
      </c>
      <c r="F53" s="347" t="str">
        <f>CONCATENATE("year ",COUNTIF(E31:Y31,"&lt;0"))</f>
        <v>year 5</v>
      </c>
      <c r="G53" s="37"/>
      <c r="H53" s="37"/>
      <c r="I53" s="37"/>
      <c r="J53" s="37"/>
      <c r="K53" s="37"/>
      <c r="L53" s="37"/>
      <c r="M53" s="37"/>
      <c r="N53" s="346" t="s">
        <v>61</v>
      </c>
      <c r="O53" s="348" t="str">
        <f>CONCATENATE("year ",COUNTIF(E32:Y32,"&lt;0"))</f>
        <v>year 6</v>
      </c>
      <c r="P53" s="340"/>
      <c r="Q53" s="340"/>
      <c r="R53" s="340"/>
      <c r="S53" s="340"/>
      <c r="T53" s="340"/>
      <c r="U53" s="340"/>
      <c r="V53" s="340"/>
      <c r="W53" s="340"/>
      <c r="X53" s="340"/>
      <c r="Y53" s="340"/>
      <c r="Z53" s="37"/>
    </row>
    <row r="54" spans="1:26" x14ac:dyDescent="0.15">
      <c r="A54" s="37"/>
      <c r="B54" s="37"/>
      <c r="C54" s="37"/>
      <c r="D54" s="37"/>
      <c r="E54" s="349" t="s">
        <v>57</v>
      </c>
      <c r="F54" s="350">
        <f>IF(SUM(E29:Y29)=0,0,IRR(E29:Y29))</f>
        <v>0.41210062206705667</v>
      </c>
      <c r="G54" s="37"/>
      <c r="H54" s="37"/>
      <c r="I54" s="37"/>
      <c r="J54" s="37"/>
      <c r="K54" s="37"/>
      <c r="L54" s="37"/>
      <c r="M54" s="37"/>
      <c r="N54" s="349" t="s">
        <v>57</v>
      </c>
      <c r="O54" s="350">
        <f>IF(SUM(E30:Y30)=0,0,IRR(E30:Y30))</f>
        <v>0.2666431177891968</v>
      </c>
      <c r="P54" s="340"/>
      <c r="Q54" s="340"/>
      <c r="R54" s="340"/>
      <c r="S54" s="340"/>
      <c r="T54" s="340"/>
      <c r="U54" s="340"/>
      <c r="V54" s="340"/>
      <c r="W54" s="340"/>
      <c r="X54" s="340"/>
      <c r="Y54" s="340"/>
      <c r="Z54" s="37"/>
    </row>
    <row r="55" spans="1:26" ht="14" thickBot="1" x14ac:dyDescent="0.2">
      <c r="A55" s="37"/>
      <c r="B55" s="37"/>
      <c r="C55" s="37"/>
      <c r="D55" s="37"/>
      <c r="E55" s="351" t="s">
        <v>58</v>
      </c>
      <c r="F55" s="438">
        <f>NPV($D$4,F29:Y29)-E21</f>
        <v>3838344.5335850595</v>
      </c>
      <c r="G55" s="439"/>
      <c r="H55" s="37"/>
      <c r="I55" s="37"/>
      <c r="J55" s="37"/>
      <c r="K55" s="37"/>
      <c r="L55" s="37"/>
      <c r="M55" s="37"/>
      <c r="N55" s="351" t="s">
        <v>58</v>
      </c>
      <c r="O55" s="438">
        <f>NPV($D$4,F30:Y30)-E22</f>
        <v>2814868.0101085361</v>
      </c>
      <c r="P55" s="340"/>
      <c r="Q55" s="340"/>
      <c r="R55" s="340"/>
      <c r="S55" s="340"/>
      <c r="T55" s="340"/>
      <c r="U55" s="340"/>
      <c r="V55" s="340"/>
      <c r="W55" s="340"/>
      <c r="X55" s="340"/>
      <c r="Y55" s="340"/>
      <c r="Z55" s="37"/>
    </row>
    <row r="56" spans="1:26" x14ac:dyDescent="0.15">
      <c r="A56" s="37"/>
      <c r="B56" s="37"/>
      <c r="C56" s="37"/>
      <c r="D56" s="37"/>
      <c r="E56" s="37"/>
      <c r="F56" s="37"/>
      <c r="G56" s="37"/>
      <c r="H56" s="37"/>
      <c r="I56" s="37"/>
      <c r="J56" s="37"/>
      <c r="K56" s="37"/>
      <c r="L56" s="37"/>
      <c r="M56" s="37"/>
      <c r="N56" s="37"/>
      <c r="O56" s="37"/>
      <c r="P56" s="340"/>
      <c r="Q56" s="340"/>
      <c r="R56" s="340"/>
      <c r="S56" s="340"/>
      <c r="T56" s="340"/>
      <c r="U56" s="340"/>
      <c r="V56" s="340"/>
      <c r="W56" s="340"/>
      <c r="X56" s="340"/>
      <c r="Y56" s="340"/>
      <c r="Z56" s="37"/>
    </row>
    <row r="57" spans="1:26" x14ac:dyDescent="0.15">
      <c r="A57" s="37"/>
      <c r="B57" s="37"/>
      <c r="C57" s="37"/>
      <c r="D57" s="37"/>
      <c r="E57" s="37"/>
      <c r="F57" s="37"/>
      <c r="G57" s="37"/>
      <c r="H57" s="37"/>
      <c r="I57" s="37"/>
      <c r="J57" s="37"/>
      <c r="K57" s="37"/>
      <c r="L57" s="37"/>
      <c r="M57" s="37"/>
      <c r="N57" s="37"/>
      <c r="O57" s="37"/>
      <c r="P57" s="340"/>
      <c r="Q57" s="340"/>
      <c r="R57" s="340"/>
      <c r="S57" s="340"/>
      <c r="T57" s="340"/>
      <c r="U57" s="340"/>
      <c r="V57" s="340"/>
      <c r="W57" s="340"/>
      <c r="X57" s="340"/>
      <c r="Y57" s="340"/>
      <c r="Z57" s="37"/>
    </row>
    <row r="58" spans="1:26" x14ac:dyDescent="0.15">
      <c r="O58"/>
      <c r="P58"/>
      <c r="Q58"/>
      <c r="R58"/>
      <c r="S58"/>
      <c r="T58"/>
      <c r="U58"/>
      <c r="V58"/>
      <c r="W58"/>
      <c r="X58"/>
      <c r="Y58"/>
    </row>
    <row r="59" spans="1:26" x14ac:dyDescent="0.15">
      <c r="O59"/>
      <c r="P59"/>
      <c r="Q59"/>
      <c r="R59"/>
      <c r="S59"/>
      <c r="T59"/>
      <c r="U59"/>
      <c r="V59"/>
      <c r="W59"/>
      <c r="X59"/>
      <c r="Y59"/>
    </row>
    <row r="60" spans="1:26" x14ac:dyDescent="0.15">
      <c r="O60"/>
      <c r="P60"/>
      <c r="Q60"/>
      <c r="R60"/>
      <c r="S60"/>
      <c r="T60"/>
      <c r="U60"/>
      <c r="V60"/>
      <c r="W60"/>
      <c r="X60"/>
      <c r="Y60"/>
    </row>
    <row r="61" spans="1:26" x14ac:dyDescent="0.15">
      <c r="O61"/>
      <c r="P61"/>
      <c r="Q61"/>
      <c r="R61"/>
      <c r="S61"/>
      <c r="T61"/>
      <c r="U61"/>
      <c r="V61"/>
      <c r="W61"/>
      <c r="X61"/>
      <c r="Y61"/>
    </row>
    <row r="62" spans="1:26" x14ac:dyDescent="0.15">
      <c r="O62"/>
      <c r="P62"/>
      <c r="Q62"/>
      <c r="R62"/>
      <c r="S62"/>
      <c r="T62"/>
      <c r="U62"/>
      <c r="V62"/>
      <c r="W62"/>
      <c r="X62"/>
      <c r="Y62"/>
    </row>
    <row r="63" spans="1:26" x14ac:dyDescent="0.15">
      <c r="O63"/>
      <c r="P63"/>
      <c r="Q63"/>
      <c r="R63"/>
      <c r="S63"/>
      <c r="T63"/>
      <c r="U63"/>
      <c r="V63"/>
      <c r="W63"/>
      <c r="X63"/>
      <c r="Y63"/>
    </row>
    <row r="64" spans="1:26" x14ac:dyDescent="0.15">
      <c r="O64"/>
      <c r="P64"/>
      <c r="Q64"/>
      <c r="R64"/>
      <c r="S64"/>
      <c r="T64"/>
      <c r="U64"/>
      <c r="V64"/>
      <c r="W64"/>
      <c r="X64"/>
      <c r="Y64"/>
    </row>
    <row r="65" customFormat="1" x14ac:dyDescent="0.15"/>
    <row r="66" customFormat="1" x14ac:dyDescent="0.15"/>
    <row r="67" customFormat="1" x14ac:dyDescent="0.15"/>
    <row r="68" customFormat="1" x14ac:dyDescent="0.15"/>
    <row r="69" customFormat="1" x14ac:dyDescent="0.15"/>
    <row r="70" customFormat="1" x14ac:dyDescent="0.15"/>
    <row r="71" customFormat="1" x14ac:dyDescent="0.15"/>
    <row r="72" customFormat="1" x14ac:dyDescent="0.15"/>
    <row r="73" customFormat="1" x14ac:dyDescent="0.15"/>
    <row r="74" customFormat="1" x14ac:dyDescent="0.15"/>
    <row r="75" customFormat="1" x14ac:dyDescent="0.15"/>
    <row r="76" customFormat="1" x14ac:dyDescent="0.15"/>
    <row r="77" customFormat="1" x14ac:dyDescent="0.15"/>
    <row r="78" customFormat="1" x14ac:dyDescent="0.15"/>
    <row r="79" customFormat="1" x14ac:dyDescent="0.15"/>
    <row r="80" customFormat="1" x14ac:dyDescent="0.15"/>
    <row r="81" spans="4:25" x14ac:dyDescent="0.15">
      <c r="O81"/>
      <c r="P81"/>
      <c r="Q81"/>
      <c r="R81"/>
      <c r="S81"/>
      <c r="T81"/>
      <c r="U81"/>
      <c r="V81"/>
      <c r="W81"/>
      <c r="X81"/>
      <c r="Y81"/>
    </row>
    <row r="82" spans="4:25" x14ac:dyDescent="0.15">
      <c r="O82"/>
      <c r="P82"/>
      <c r="Q82"/>
      <c r="R82"/>
      <c r="S82"/>
      <c r="T82"/>
      <c r="U82"/>
      <c r="V82"/>
      <c r="W82"/>
      <c r="X82"/>
      <c r="Y82"/>
    </row>
    <row r="83" spans="4:25" x14ac:dyDescent="0.15">
      <c r="O83"/>
      <c r="P83"/>
      <c r="Q83"/>
      <c r="R83"/>
      <c r="S83"/>
      <c r="T83"/>
      <c r="U83"/>
      <c r="V83"/>
      <c r="W83"/>
      <c r="X83"/>
      <c r="Y83"/>
    </row>
    <row r="84" spans="4:25" x14ac:dyDescent="0.15">
      <c r="O84"/>
      <c r="P84"/>
      <c r="Q84"/>
      <c r="R84"/>
      <c r="S84"/>
      <c r="T84"/>
      <c r="U84"/>
      <c r="V84"/>
      <c r="W84"/>
      <c r="X84"/>
      <c r="Y84"/>
    </row>
    <row r="85" spans="4:25" x14ac:dyDescent="0.15">
      <c r="O85"/>
      <c r="P85"/>
      <c r="Q85"/>
      <c r="R85"/>
      <c r="S85"/>
      <c r="T85"/>
      <c r="U85"/>
      <c r="V85"/>
      <c r="W85"/>
      <c r="X85"/>
      <c r="Y85"/>
    </row>
    <row r="86" spans="4:25" x14ac:dyDescent="0.15">
      <c r="O86" s="16"/>
      <c r="P86" s="16"/>
      <c r="Q86" s="16"/>
      <c r="R86" s="16"/>
      <c r="S86" s="16"/>
      <c r="T86" s="16"/>
      <c r="U86" s="16"/>
      <c r="V86" s="16"/>
      <c r="W86" s="16"/>
      <c r="X86" s="16"/>
      <c r="Y86" s="16"/>
    </row>
    <row r="87" spans="4:25" x14ac:dyDescent="0.15">
      <c r="D87" s="5"/>
    </row>
    <row r="112" ht="13.5" customHeight="1" x14ac:dyDescent="0.15"/>
    <row r="113" spans="2:25" ht="13.5" customHeight="1" x14ac:dyDescent="0.15"/>
    <row r="117" spans="2:25" ht="12.75" customHeight="1" x14ac:dyDescent="0.15"/>
    <row r="118" spans="2:25" ht="12.75" customHeight="1" x14ac:dyDescent="0.15"/>
    <row r="119" spans="2:25" ht="12.75" customHeight="1" x14ac:dyDescent="0.15"/>
    <row r="123" spans="2:25" x14ac:dyDescent="0.15">
      <c r="O123" s="16"/>
      <c r="P123" s="16"/>
      <c r="Q123" s="16"/>
      <c r="R123" s="16"/>
      <c r="S123" s="16"/>
      <c r="T123" s="16"/>
      <c r="U123" s="16"/>
      <c r="V123" s="16"/>
      <c r="W123" s="16"/>
      <c r="X123" s="16"/>
      <c r="Y123" s="16"/>
    </row>
    <row r="124" spans="2:25" x14ac:dyDescent="0.15">
      <c r="B124" s="15"/>
      <c r="O124" s="16"/>
      <c r="P124" s="16"/>
      <c r="Q124" s="16"/>
      <c r="R124" s="16"/>
      <c r="S124" s="16"/>
      <c r="T124" s="16"/>
      <c r="U124" s="16"/>
      <c r="V124" s="16"/>
      <c r="W124" s="16"/>
      <c r="X124" s="16"/>
      <c r="Y124" s="16"/>
    </row>
    <row r="125" spans="2:25" x14ac:dyDescent="0.15">
      <c r="B125" s="15"/>
      <c r="C125" s="17"/>
      <c r="O125" s="16"/>
      <c r="P125" s="16"/>
      <c r="Q125" s="16"/>
      <c r="R125" s="16"/>
      <c r="S125" s="16"/>
      <c r="T125" s="16"/>
      <c r="U125" s="16"/>
      <c r="V125" s="16"/>
      <c r="W125" s="16"/>
      <c r="X125" s="16"/>
      <c r="Y125" s="16"/>
    </row>
    <row r="126" spans="2:25" x14ac:dyDescent="0.15">
      <c r="O126" s="16"/>
      <c r="P126" s="16"/>
      <c r="Q126" s="16"/>
      <c r="R126" s="16"/>
      <c r="S126" s="16"/>
      <c r="T126" s="16"/>
      <c r="U126" s="16"/>
      <c r="V126" s="16"/>
      <c r="W126" s="16"/>
      <c r="X126" s="16"/>
      <c r="Y126" s="16"/>
    </row>
    <row r="127" spans="2:25" x14ac:dyDescent="0.15">
      <c r="O127" s="16"/>
      <c r="P127" s="16"/>
      <c r="Q127" s="16"/>
      <c r="R127" s="16"/>
      <c r="S127" s="16"/>
      <c r="T127" s="16"/>
      <c r="U127" s="16"/>
      <c r="V127" s="16"/>
      <c r="W127" s="16"/>
      <c r="X127" s="16"/>
      <c r="Y127" s="16"/>
    </row>
    <row r="128" spans="2:25" x14ac:dyDescent="0.15">
      <c r="O128" s="16"/>
      <c r="P128" s="16"/>
      <c r="Q128" s="16"/>
      <c r="R128" s="16"/>
      <c r="S128" s="16"/>
      <c r="T128" s="16"/>
      <c r="U128" s="16"/>
      <c r="V128" s="16"/>
      <c r="W128" s="16"/>
      <c r="X128" s="16"/>
      <c r="Y128" s="16"/>
    </row>
  </sheetData>
  <sheetProtection password="AAD9" sheet="1" objects="1" scenarios="1"/>
  <mergeCells count="13">
    <mergeCell ref="E52:F52"/>
    <mergeCell ref="N52:O52"/>
    <mergeCell ref="C31:C32"/>
    <mergeCell ref="C33:C34"/>
    <mergeCell ref="B6:B27"/>
    <mergeCell ref="B28:B34"/>
    <mergeCell ref="C9:C11"/>
    <mergeCell ref="C18:C20"/>
    <mergeCell ref="C14:C17"/>
    <mergeCell ref="C29:C30"/>
    <mergeCell ref="C23:C24"/>
    <mergeCell ref="C21:C22"/>
    <mergeCell ref="C26:C27"/>
  </mergeCells>
  <phoneticPr fontId="2" type="noConversion"/>
  <conditionalFormatting sqref="L3:L5 E25:Y25 E28:Y28">
    <cfRule type="expression" dxfId="56" priority="45">
      <formula>ISNA(E$8)</formula>
    </cfRule>
  </conditionalFormatting>
  <conditionalFormatting sqref="M3:M5">
    <cfRule type="expression" dxfId="55" priority="40">
      <formula>ISNA(M$8)</formula>
    </cfRule>
  </conditionalFormatting>
  <conditionalFormatting sqref="N3:N5">
    <cfRule type="expression" dxfId="54" priority="39">
      <formula>ISNA(N$8)</formula>
    </cfRule>
  </conditionalFormatting>
  <conditionalFormatting sqref="O3:O5">
    <cfRule type="expression" dxfId="53" priority="38">
      <formula>ISNA(O$8)</formula>
    </cfRule>
  </conditionalFormatting>
  <conditionalFormatting sqref="P3:P5">
    <cfRule type="expression" dxfId="52" priority="37">
      <formula>ISNA(P$8)</formula>
    </cfRule>
  </conditionalFormatting>
  <conditionalFormatting sqref="Q3:Q5">
    <cfRule type="expression" dxfId="51" priority="36">
      <formula>ISNA(Q$8)</formula>
    </cfRule>
  </conditionalFormatting>
  <conditionalFormatting sqref="R3:R5">
    <cfRule type="expression" dxfId="50" priority="35">
      <formula>ISNA(R$8)</formula>
    </cfRule>
  </conditionalFormatting>
  <conditionalFormatting sqref="S3:S5">
    <cfRule type="expression" dxfId="49" priority="34">
      <formula>ISNA(S$8)</formula>
    </cfRule>
  </conditionalFormatting>
  <conditionalFormatting sqref="T3:T5">
    <cfRule type="expression" dxfId="48" priority="33">
      <formula>ISNA(T$8)</formula>
    </cfRule>
  </conditionalFormatting>
  <conditionalFormatting sqref="U3:U5">
    <cfRule type="expression" dxfId="47" priority="32">
      <formula>ISNA(U$8)</formula>
    </cfRule>
  </conditionalFormatting>
  <conditionalFormatting sqref="V3:V5">
    <cfRule type="expression" dxfId="46" priority="31">
      <formula>ISNA(V$8)</formula>
    </cfRule>
  </conditionalFormatting>
  <conditionalFormatting sqref="W3:W5">
    <cfRule type="expression" dxfId="45" priority="30">
      <formula>ISNA(W$8)</formula>
    </cfRule>
  </conditionalFormatting>
  <conditionalFormatting sqref="X3:X5">
    <cfRule type="expression" dxfId="44" priority="29">
      <formula>ISNA(X$8)</formula>
    </cfRule>
  </conditionalFormatting>
  <conditionalFormatting sqref="Y3:Y5">
    <cfRule type="expression" dxfId="43" priority="28">
      <formula>ISNA(Y$8)</formula>
    </cfRule>
  </conditionalFormatting>
  <conditionalFormatting sqref="K3:K5">
    <cfRule type="expression" dxfId="42" priority="27">
      <formula>ISNA(K$8)</formula>
    </cfRule>
  </conditionalFormatting>
  <conditionalFormatting sqref="J3:J5">
    <cfRule type="expression" dxfId="41" priority="26">
      <formula>ISNA(J$8)</formula>
    </cfRule>
  </conditionalFormatting>
  <conditionalFormatting sqref="I3:I5">
    <cfRule type="expression" dxfId="40" priority="25">
      <formula>ISNA(I$8)</formula>
    </cfRule>
  </conditionalFormatting>
  <conditionalFormatting sqref="H3:H5">
    <cfRule type="expression" dxfId="39" priority="24">
      <formula>ISNA(H$8)</formula>
    </cfRule>
  </conditionalFormatting>
  <conditionalFormatting sqref="G3:G5">
    <cfRule type="expression" dxfId="38" priority="23">
      <formula>ISNA(G$8)</formula>
    </cfRule>
  </conditionalFormatting>
  <conditionalFormatting sqref="F3:F5">
    <cfRule type="expression" dxfId="37" priority="22">
      <formula>ISNA(F$8)</formula>
    </cfRule>
  </conditionalFormatting>
  <conditionalFormatting sqref="E6:Y34">
    <cfRule type="expression" dxfId="36" priority="21">
      <formula>ISNA(E6)</formula>
    </cfRule>
  </conditionalFormatting>
  <conditionalFormatting sqref="E23:Y23">
    <cfRule type="expression" dxfId="35" priority="20">
      <formula>ISNA(E$8)</formula>
    </cfRule>
  </conditionalFormatting>
  <conditionalFormatting sqref="E24:Y24">
    <cfRule type="expression" dxfId="34" priority="18">
      <formula>ISNA(E$8)</formula>
    </cfRule>
  </conditionalFormatting>
  <conditionalFormatting sqref="E7:Y7">
    <cfRule type="expression" dxfId="33" priority="4">
      <formula>E$7=""</formula>
    </cfRule>
    <cfRule type="expression" dxfId="32" priority="17">
      <formula>ISNA(E$8)</formula>
    </cfRule>
  </conditionalFormatting>
  <conditionalFormatting sqref="E6:Y6">
    <cfRule type="expression" dxfId="31" priority="5">
      <formula>E$6=""</formula>
    </cfRule>
  </conditionalFormatting>
  <conditionalFormatting sqref="G55">
    <cfRule type="expression" dxfId="30" priority="3">
      <formula>ISNA(G55)</formula>
    </cfRule>
  </conditionalFormatting>
  <conditionalFormatting sqref="F55">
    <cfRule type="expression" dxfId="29" priority="2">
      <formula>ISNA(F55)</formula>
    </cfRule>
  </conditionalFormatting>
  <conditionalFormatting sqref="O55">
    <cfRule type="expression" dxfId="28" priority="1">
      <formula>ISNA(O55)</formula>
    </cfRule>
  </conditionalFormatting>
  <pageMargins left="0.75" right="0.75" top="1" bottom="1" header="0.5" footer="0.5"/>
  <pageSetup scale="56" orientation="portrait"/>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AT163"/>
  <sheetViews>
    <sheetView zoomScaleNormal="100" workbookViewId="0"/>
  </sheetViews>
  <sheetFormatPr baseColWidth="10" defaultColWidth="8.83203125" defaultRowHeight="13" x14ac:dyDescent="0.15"/>
  <cols>
    <col min="1" max="1" width="2.5" customWidth="1"/>
    <col min="2" max="2" width="7" customWidth="1"/>
    <col min="3" max="3" width="26.6640625" customWidth="1"/>
    <col min="4" max="4" width="9.83203125" customWidth="1"/>
    <col min="5" max="5" width="10" customWidth="1"/>
    <col min="6" max="6" width="9.83203125" customWidth="1"/>
    <col min="7" max="7" width="10.1640625" customWidth="1"/>
    <col min="8" max="11" width="8.6640625" customWidth="1"/>
    <col min="12" max="12" width="9.6640625" customWidth="1"/>
    <col min="13" max="13" width="10.5" customWidth="1"/>
    <col min="14" max="14" width="7.1640625" customWidth="1"/>
    <col min="15" max="15" width="7" customWidth="1"/>
    <col min="16" max="16" width="3" customWidth="1"/>
    <col min="17" max="17" width="3.1640625" customWidth="1"/>
    <col min="18" max="18" width="17.83203125" customWidth="1"/>
    <col min="19" max="19" width="22.6640625" bestFit="1" customWidth="1"/>
    <col min="22" max="22" width="10.5" bestFit="1" customWidth="1"/>
    <col min="23" max="25" width="12.5" customWidth="1"/>
    <col min="26" max="26" width="13.83203125" customWidth="1"/>
    <col min="27" max="43" width="12.5" customWidth="1"/>
  </cols>
  <sheetData>
    <row r="1" spans="1:46" x14ac:dyDescent="0.15">
      <c r="A1" s="219"/>
      <c r="B1" s="219"/>
      <c r="C1" s="219"/>
      <c r="D1" s="219"/>
      <c r="E1" s="219"/>
      <c r="F1" s="219"/>
      <c r="G1" s="219"/>
      <c r="H1" s="219"/>
      <c r="I1" s="219"/>
      <c r="J1" s="219"/>
      <c r="K1" s="219"/>
      <c r="L1" s="219"/>
      <c r="M1" s="219"/>
      <c r="N1" s="219"/>
      <c r="O1" s="219"/>
      <c r="P1" s="37"/>
      <c r="Q1" s="213"/>
      <c r="R1" s="100"/>
      <c r="S1" s="100"/>
      <c r="T1" s="100"/>
      <c r="U1" s="100"/>
      <c r="V1" s="100"/>
      <c r="W1" s="100"/>
      <c r="X1" s="100"/>
      <c r="Y1" s="100"/>
      <c r="Z1" s="100"/>
      <c r="AA1" s="100"/>
      <c r="AB1" s="100"/>
      <c r="AC1" s="102"/>
      <c r="AD1" s="100"/>
      <c r="AE1" s="100"/>
      <c r="AF1" s="100"/>
      <c r="AG1" s="100"/>
      <c r="AH1" s="100"/>
      <c r="AI1" s="100"/>
      <c r="AJ1" s="100"/>
      <c r="AK1" s="100"/>
      <c r="AL1" s="100"/>
      <c r="AM1" s="100"/>
      <c r="AN1" s="100"/>
      <c r="AO1" s="100"/>
      <c r="AP1" s="100"/>
      <c r="AQ1" s="100"/>
      <c r="AR1" s="100"/>
      <c r="AS1" s="100"/>
      <c r="AT1" s="98"/>
    </row>
    <row r="2" spans="1:46" ht="19" thickBot="1" x14ac:dyDescent="0.25">
      <c r="A2" s="219"/>
      <c r="B2" s="220" t="str">
        <f>I.InputData!B2</f>
        <v>I.</v>
      </c>
      <c r="C2" s="534" t="str">
        <f>I.InputData!C2</f>
        <v>Input Data</v>
      </c>
      <c r="D2" s="534"/>
      <c r="E2" s="534"/>
      <c r="F2" s="534"/>
      <c r="G2" s="534"/>
      <c r="H2" s="534"/>
      <c r="I2" s="534"/>
      <c r="J2" s="534"/>
      <c r="K2" s="534"/>
      <c r="L2" s="534"/>
      <c r="M2" s="534"/>
      <c r="N2" s="534"/>
      <c r="O2" s="534"/>
      <c r="P2" s="37"/>
      <c r="Q2" s="213"/>
      <c r="R2" s="100"/>
      <c r="S2" s="100"/>
      <c r="T2" s="100"/>
      <c r="U2" s="100"/>
      <c r="V2" s="100"/>
      <c r="W2" s="100"/>
      <c r="X2" s="100"/>
      <c r="Y2" s="100"/>
      <c r="Z2" s="100"/>
      <c r="AA2" s="101"/>
      <c r="AB2" s="100"/>
      <c r="AC2" s="102"/>
      <c r="AD2" s="100"/>
      <c r="AE2" s="100"/>
      <c r="AF2" s="100"/>
      <c r="AG2" s="100"/>
      <c r="AH2" s="100"/>
      <c r="AI2" s="100"/>
      <c r="AJ2" s="100"/>
      <c r="AK2" s="100"/>
      <c r="AL2" s="100"/>
      <c r="AM2" s="100"/>
      <c r="AN2" s="100"/>
      <c r="AO2" s="100"/>
      <c r="AP2" s="100"/>
      <c r="AQ2" s="100"/>
      <c r="AR2" s="100"/>
      <c r="AS2" s="100"/>
      <c r="AT2" s="98"/>
    </row>
    <row r="3" spans="1:46" ht="18" x14ac:dyDescent="0.2">
      <c r="A3" s="219"/>
      <c r="B3" s="221"/>
      <c r="C3" s="222"/>
      <c r="D3" s="219"/>
      <c r="E3" s="219"/>
      <c r="F3" s="219"/>
      <c r="G3" s="219"/>
      <c r="H3" s="219"/>
      <c r="I3" s="219"/>
      <c r="J3" s="219"/>
      <c r="K3" s="219"/>
      <c r="L3" s="219"/>
      <c r="M3" s="219"/>
      <c r="N3" s="219"/>
      <c r="O3" s="219"/>
      <c r="P3" s="37"/>
      <c r="Q3" s="213"/>
      <c r="R3" s="103"/>
      <c r="S3" s="103"/>
      <c r="T3" s="103"/>
      <c r="U3" s="103"/>
      <c r="V3" s="103"/>
      <c r="W3" s="103"/>
      <c r="X3" s="103"/>
      <c r="Y3" s="103"/>
      <c r="Z3" s="103"/>
      <c r="AA3" s="103"/>
      <c r="AB3" s="103"/>
      <c r="AC3" s="104"/>
      <c r="AD3" s="103"/>
      <c r="AE3" s="103"/>
      <c r="AF3" s="103"/>
      <c r="AG3" s="103"/>
      <c r="AH3" s="103"/>
      <c r="AI3" s="103"/>
      <c r="AJ3" s="103"/>
      <c r="AK3" s="103"/>
      <c r="AL3" s="103"/>
      <c r="AM3" s="103"/>
      <c r="AN3" s="103"/>
      <c r="AO3" s="100"/>
      <c r="AP3" s="100"/>
      <c r="AQ3" s="100"/>
      <c r="AR3" s="100"/>
      <c r="AS3" s="100"/>
      <c r="AT3" s="98"/>
    </row>
    <row r="4" spans="1:46" ht="16" thickBot="1" x14ac:dyDescent="0.25">
      <c r="A4" s="219"/>
      <c r="B4" s="219"/>
      <c r="C4" s="223" t="str">
        <f>I.InputData!C4</f>
        <v>Table 1. Planning &amp; Costing Summary</v>
      </c>
      <c r="D4" s="224"/>
      <c r="E4" s="219"/>
      <c r="F4" s="219"/>
      <c r="G4" s="219"/>
      <c r="H4" s="219"/>
      <c r="I4" s="219"/>
      <c r="J4" s="219"/>
      <c r="K4" s="219"/>
      <c r="L4" s="219"/>
      <c r="M4" s="219"/>
      <c r="N4" s="219"/>
      <c r="O4" s="219"/>
      <c r="P4" s="37"/>
      <c r="Q4" s="213"/>
      <c r="R4" s="100"/>
      <c r="S4" s="105" t="s">
        <v>133</v>
      </c>
      <c r="T4" s="100"/>
      <c r="U4" s="100"/>
      <c r="V4" s="100"/>
      <c r="W4" s="100"/>
      <c r="X4" s="100"/>
      <c r="Y4" s="100"/>
      <c r="Z4" s="100"/>
      <c r="AA4" s="100"/>
      <c r="AB4" s="100"/>
      <c r="AC4" s="102"/>
      <c r="AD4" s="100"/>
      <c r="AE4" s="100"/>
      <c r="AF4" s="100"/>
      <c r="AG4" s="100"/>
      <c r="AH4" s="100"/>
      <c r="AI4" s="100"/>
      <c r="AJ4" s="100"/>
      <c r="AK4" s="100"/>
      <c r="AL4" s="100"/>
      <c r="AM4" s="100"/>
      <c r="AN4" s="100"/>
      <c r="AO4" s="100"/>
      <c r="AP4" s="100"/>
      <c r="AQ4" s="100"/>
      <c r="AR4" s="100"/>
      <c r="AS4" s="100"/>
      <c r="AT4" s="98"/>
    </row>
    <row r="5" spans="1:46" ht="15.75" customHeight="1" x14ac:dyDescent="0.15">
      <c r="A5" s="219"/>
      <c r="B5" s="535" t="str">
        <f>I.InputData!B5</f>
        <v>Planning and Costing Summary</v>
      </c>
      <c r="C5" s="543" t="str">
        <f>I.InputData!C5</f>
        <v>Phase</v>
      </c>
      <c r="D5" s="545" t="str">
        <f>I.InputData!D5</f>
        <v>Included in proposed activity?</v>
      </c>
      <c r="E5" s="547" t="str">
        <f>I.InputData!E5</f>
        <v>Total Cost</v>
      </c>
      <c r="F5" s="225" t="str">
        <f>I.InputData!F5</f>
        <v>ESA Funding</v>
      </c>
      <c r="G5" s="225" t="str">
        <f>I.InputData!G5</f>
        <v>Start</v>
      </c>
      <c r="H5" s="226" t="str">
        <f>I.InputData!H5</f>
        <v>Conclusion</v>
      </c>
      <c r="I5" s="219"/>
      <c r="J5" s="219"/>
      <c r="K5" s="219"/>
      <c r="L5" s="219"/>
      <c r="M5" s="219"/>
      <c r="N5" s="219"/>
      <c r="O5" s="219"/>
      <c r="P5" s="37"/>
      <c r="Q5" s="213"/>
      <c r="R5" s="100"/>
      <c r="S5" s="106" t="s">
        <v>109</v>
      </c>
      <c r="T5" s="107" t="str">
        <f>IF(AND(T6="",T7=""),"",IF(OR(S5="",ISTEXT(S5)),0,S5+1))</f>
        <v/>
      </c>
      <c r="U5" s="107" t="str">
        <f t="shared" ref="U5:AB5" si="0">IF(T5&lt;&gt;"",T5+1,IF(AND(U6="",U7=""),"",IF(OR(T5="",ISTEXT(T5)),0,T5+1)))</f>
        <v/>
      </c>
      <c r="V5" s="107" t="str">
        <f t="shared" si="0"/>
        <v/>
      </c>
      <c r="W5" s="107" t="str">
        <f t="shared" si="0"/>
        <v/>
      </c>
      <c r="X5" s="107" t="str">
        <f t="shared" si="0"/>
        <v/>
      </c>
      <c r="Y5" s="107" t="str">
        <f t="shared" si="0"/>
        <v/>
      </c>
      <c r="Z5" s="107" t="str">
        <f t="shared" si="0"/>
        <v/>
      </c>
      <c r="AA5" s="107" t="str">
        <f t="shared" si="0"/>
        <v/>
      </c>
      <c r="AB5" s="107">
        <f t="shared" si="0"/>
        <v>0</v>
      </c>
      <c r="AC5" s="108">
        <f>IF(AB5&lt;&gt;"",AB5+1,IF(AND(AC6="",AC7=""),"",IF(OR(AB5="",ISTEXT(AB5)),0,AB5+1)))</f>
        <v>1</v>
      </c>
      <c r="AD5" s="107">
        <f t="shared" ref="AD5:AL5" si="1">IF(AND(AD6="",AD7=""),"",IF(OR(AC5="",ISTEXT(AC5)),0,AC5+1))</f>
        <v>2</v>
      </c>
      <c r="AE5" s="107">
        <f t="shared" si="1"/>
        <v>3</v>
      </c>
      <c r="AF5" s="107">
        <f t="shared" si="1"/>
        <v>4</v>
      </c>
      <c r="AG5" s="107">
        <f t="shared" si="1"/>
        <v>5</v>
      </c>
      <c r="AH5" s="107">
        <f t="shared" si="1"/>
        <v>6</v>
      </c>
      <c r="AI5" s="107">
        <f t="shared" si="1"/>
        <v>7</v>
      </c>
      <c r="AJ5" s="107">
        <f t="shared" si="1"/>
        <v>8</v>
      </c>
      <c r="AK5" s="107">
        <f t="shared" si="1"/>
        <v>9</v>
      </c>
      <c r="AL5" s="107">
        <f t="shared" si="1"/>
        <v>10</v>
      </c>
      <c r="AM5" s="107" t="str">
        <f>IF(AND(AM6="",AM7=""),"",IF(OR(AL5="",ISTEXT(AL5)),0,AL5+1))</f>
        <v/>
      </c>
      <c r="AN5" s="107" t="str">
        <f>IF(AND(AN6="",AN7=""),"",IF(OR(AM5="",ISTEXT(AM5)),0,AM5+1))</f>
        <v/>
      </c>
      <c r="AO5" s="100"/>
      <c r="AP5" s="100"/>
      <c r="AQ5" s="100"/>
      <c r="AR5" s="100"/>
      <c r="AS5" s="100"/>
      <c r="AT5" s="98"/>
    </row>
    <row r="6" spans="1:46" ht="14" thickBot="1" x14ac:dyDescent="0.2">
      <c r="A6" s="219"/>
      <c r="B6" s="536"/>
      <c r="C6" s="544"/>
      <c r="D6" s="546"/>
      <c r="E6" s="548"/>
      <c r="F6" s="227" t="str">
        <f>I.InputData!F6</f>
        <v>% of Costs</v>
      </c>
      <c r="G6" s="227" t="str">
        <f>I.InputData!G6</f>
        <v>Mon-YY</v>
      </c>
      <c r="H6" s="228" t="str">
        <f>I.InputData!H6</f>
        <v>Mon-YY</v>
      </c>
      <c r="I6" s="219"/>
      <c r="J6" s="219"/>
      <c r="K6" s="219"/>
      <c r="L6" s="219"/>
      <c r="M6" s="219"/>
      <c r="N6" s="219"/>
      <c r="O6" s="219"/>
      <c r="P6" s="37"/>
      <c r="Q6" s="213"/>
      <c r="R6" s="100"/>
      <c r="S6" s="109" t="s">
        <v>117</v>
      </c>
      <c r="T6" s="110" t="str">
        <f>+IF(SUM(T32:T35)=0,"",0)</f>
        <v/>
      </c>
      <c r="U6" s="111" t="str">
        <f t="shared" ref="U6:AN6" si="2">+IF(SUM(U32:U35)=0,"",IF(T6="",0,T6+1))</f>
        <v/>
      </c>
      <c r="V6" s="111" t="str">
        <f t="shared" si="2"/>
        <v/>
      </c>
      <c r="W6" s="111" t="str">
        <f t="shared" si="2"/>
        <v/>
      </c>
      <c r="X6" s="111" t="str">
        <f t="shared" si="2"/>
        <v/>
      </c>
      <c r="Y6" s="111" t="str">
        <f t="shared" si="2"/>
        <v/>
      </c>
      <c r="Z6" s="111" t="str">
        <f t="shared" si="2"/>
        <v/>
      </c>
      <c r="AA6" s="111" t="str">
        <f t="shared" si="2"/>
        <v/>
      </c>
      <c r="AB6" s="111">
        <f t="shared" si="2"/>
        <v>0</v>
      </c>
      <c r="AC6" s="112">
        <f t="shared" si="2"/>
        <v>1</v>
      </c>
      <c r="AD6" s="111">
        <f t="shared" si="2"/>
        <v>2</v>
      </c>
      <c r="AE6" s="111" t="str">
        <f t="shared" si="2"/>
        <v/>
      </c>
      <c r="AF6" s="111" t="str">
        <f t="shared" si="2"/>
        <v/>
      </c>
      <c r="AG6" s="111" t="str">
        <f t="shared" si="2"/>
        <v/>
      </c>
      <c r="AH6" s="111" t="str">
        <f t="shared" si="2"/>
        <v/>
      </c>
      <c r="AI6" s="111" t="str">
        <f t="shared" si="2"/>
        <v/>
      </c>
      <c r="AJ6" s="111" t="str">
        <f t="shared" si="2"/>
        <v/>
      </c>
      <c r="AK6" s="111" t="str">
        <f t="shared" si="2"/>
        <v/>
      </c>
      <c r="AL6" s="111" t="str">
        <f t="shared" si="2"/>
        <v/>
      </c>
      <c r="AM6" s="111" t="str">
        <f t="shared" si="2"/>
        <v/>
      </c>
      <c r="AN6" s="111" t="str">
        <f t="shared" si="2"/>
        <v/>
      </c>
      <c r="AO6" s="100"/>
      <c r="AP6" s="100"/>
      <c r="AQ6" s="100"/>
      <c r="AR6" s="100"/>
      <c r="AS6" s="100"/>
      <c r="AT6" s="98"/>
    </row>
    <row r="7" spans="1:46" x14ac:dyDescent="0.15">
      <c r="A7" s="219"/>
      <c r="B7" s="536"/>
      <c r="C7" s="229" t="str">
        <f>I.InputData!C7</f>
        <v>Definition</v>
      </c>
      <c r="D7" s="230" t="str">
        <f>I.InputData!D7</f>
        <v>NO</v>
      </c>
      <c r="E7" s="231">
        <f>I.InputData!E7</f>
        <v>500000</v>
      </c>
      <c r="F7" s="232">
        <f>I.InputData!F7</f>
        <v>0.5</v>
      </c>
      <c r="G7" s="233">
        <f>I.InputData!G7</f>
        <v>44805</v>
      </c>
      <c r="H7" s="234">
        <f>I.InputData!H7</f>
        <v>44896</v>
      </c>
      <c r="I7" s="219"/>
      <c r="J7" s="219"/>
      <c r="K7" s="219"/>
      <c r="L7" s="219"/>
      <c r="M7" s="219"/>
      <c r="N7" s="219"/>
      <c r="O7" s="219"/>
      <c r="P7" s="37"/>
      <c r="Q7" s="213"/>
      <c r="R7" s="100"/>
      <c r="S7" s="113" t="s">
        <v>118</v>
      </c>
      <c r="T7" s="114" t="str">
        <f>""</f>
        <v/>
      </c>
      <c r="U7" s="115" t="str">
        <f>""</f>
        <v/>
      </c>
      <c r="V7" s="115" t="str">
        <f>""</f>
        <v/>
      </c>
      <c r="W7" s="115" t="str">
        <f>""</f>
        <v/>
      </c>
      <c r="X7" s="115" t="str">
        <f>""</f>
        <v/>
      </c>
      <c r="Y7" s="115" t="str">
        <f>""</f>
        <v/>
      </c>
      <c r="Z7" s="115" t="str">
        <f>""</f>
        <v/>
      </c>
      <c r="AA7" s="115" t="str">
        <f>""</f>
        <v/>
      </c>
      <c r="AB7" s="115" t="str">
        <f>""</f>
        <v/>
      </c>
      <c r="AC7" s="116" t="str">
        <f>""</f>
        <v/>
      </c>
      <c r="AD7" s="117">
        <f t="shared" ref="AD7:AN7" si="3">IF($T27&gt;AD31,AD31,"")</f>
        <v>0</v>
      </c>
      <c r="AE7" s="117">
        <f t="shared" si="3"/>
        <v>1</v>
      </c>
      <c r="AF7" s="117">
        <f t="shared" si="3"/>
        <v>2</v>
      </c>
      <c r="AG7" s="117">
        <f t="shared" si="3"/>
        <v>3</v>
      </c>
      <c r="AH7" s="117">
        <f t="shared" si="3"/>
        <v>4</v>
      </c>
      <c r="AI7" s="117">
        <f t="shared" si="3"/>
        <v>5</v>
      </c>
      <c r="AJ7" s="117">
        <f t="shared" si="3"/>
        <v>6</v>
      </c>
      <c r="AK7" s="117">
        <f t="shared" si="3"/>
        <v>7</v>
      </c>
      <c r="AL7" s="117">
        <f t="shared" si="3"/>
        <v>8</v>
      </c>
      <c r="AM7" s="117" t="str">
        <f t="shared" si="3"/>
        <v/>
      </c>
      <c r="AN7" s="117" t="str">
        <f t="shared" si="3"/>
        <v/>
      </c>
      <c r="AO7" s="100"/>
      <c r="AP7" s="100"/>
      <c r="AQ7" s="100"/>
      <c r="AR7" s="100"/>
      <c r="AS7" s="100"/>
      <c r="AT7" s="98"/>
    </row>
    <row r="8" spans="1:46" x14ac:dyDescent="0.15">
      <c r="A8" s="219"/>
      <c r="B8" s="536"/>
      <c r="C8" s="235" t="str">
        <f>I.InputData!C8</f>
        <v>Technology</v>
      </c>
      <c r="D8" s="236" t="str">
        <f>I.InputData!D8</f>
        <v>YES</v>
      </c>
      <c r="E8" s="237">
        <f>I.InputData!E8</f>
        <v>1000000</v>
      </c>
      <c r="F8" s="238">
        <f>I.InputData!F8</f>
        <v>0.75</v>
      </c>
      <c r="G8" s="239">
        <f>I.InputData!G8</f>
        <v>44927</v>
      </c>
      <c r="H8" s="240">
        <f>I.InputData!H8</f>
        <v>45200</v>
      </c>
      <c r="I8" s="219"/>
      <c r="J8" s="219"/>
      <c r="K8" s="219"/>
      <c r="L8" s="219"/>
      <c r="M8" s="219"/>
      <c r="N8" s="219"/>
      <c r="O8" s="219"/>
      <c r="P8" s="37"/>
      <c r="Q8" s="213"/>
      <c r="R8" s="100"/>
      <c r="S8" s="109" t="str">
        <f>+SUPPORT!AB47</f>
        <v>Sales Revenue</v>
      </c>
      <c r="T8" s="355"/>
      <c r="U8" s="355"/>
      <c r="V8" s="355"/>
      <c r="W8" s="355"/>
      <c r="X8" s="355"/>
      <c r="Y8" s="355"/>
      <c r="Z8" s="355"/>
      <c r="AA8" s="355"/>
      <c r="AB8" s="355"/>
      <c r="AC8" s="356"/>
      <c r="AD8" s="118">
        <f t="shared" ref="AD8:AN8" si="4">IF(AD5="","",+AD54)</f>
        <v>170000</v>
      </c>
      <c r="AE8" s="118">
        <f t="shared" si="4"/>
        <v>867000</v>
      </c>
      <c r="AF8" s="118">
        <f t="shared" si="4"/>
        <v>1768680</v>
      </c>
      <c r="AG8" s="118">
        <f t="shared" si="4"/>
        <v>1984458.96</v>
      </c>
      <c r="AH8" s="118">
        <f t="shared" si="4"/>
        <v>2116154.8728</v>
      </c>
      <c r="AI8" s="118">
        <f t="shared" si="4"/>
        <v>2440018.5750719998</v>
      </c>
      <c r="AJ8" s="118">
        <f t="shared" si="4"/>
        <v>2871714.1691232002</v>
      </c>
      <c r="AK8" s="118">
        <f t="shared" si="4"/>
        <v>2636233.607255097</v>
      </c>
      <c r="AL8" s="118">
        <f t="shared" si="4"/>
        <v>2589367.2320150067</v>
      </c>
      <c r="AM8" s="118" t="str">
        <f t="shared" si="4"/>
        <v/>
      </c>
      <c r="AN8" s="118" t="str">
        <f t="shared" si="4"/>
        <v/>
      </c>
      <c r="AO8" s="100"/>
      <c r="AP8" s="100"/>
      <c r="AQ8" s="100"/>
      <c r="AR8" s="100"/>
      <c r="AS8" s="100"/>
      <c r="AT8" s="98"/>
    </row>
    <row r="9" spans="1:46" x14ac:dyDescent="0.15">
      <c r="A9" s="219"/>
      <c r="B9" s="536"/>
      <c r="C9" s="235" t="str">
        <f>I.InputData!C9</f>
        <v>Product</v>
      </c>
      <c r="D9" s="236" t="str">
        <f>I.InputData!D9</f>
        <v>YES</v>
      </c>
      <c r="E9" s="237">
        <f>I.InputData!E9</f>
        <v>800000</v>
      </c>
      <c r="F9" s="238">
        <f>I.InputData!F9</f>
        <v>0.5</v>
      </c>
      <c r="G9" s="239">
        <f>I.InputData!G9</f>
        <v>45231</v>
      </c>
      <c r="H9" s="240">
        <f>I.InputData!H9</f>
        <v>45413</v>
      </c>
      <c r="I9" s="219"/>
      <c r="J9" s="219"/>
      <c r="K9" s="219"/>
      <c r="L9" s="219"/>
      <c r="M9" s="219"/>
      <c r="N9" s="219"/>
      <c r="O9" s="219"/>
      <c r="P9" s="37"/>
      <c r="Q9" s="213"/>
      <c r="R9" s="100"/>
      <c r="S9" s="113" t="str">
        <f>+SUPPORT!AB55</f>
        <v>Installation Revenue</v>
      </c>
      <c r="T9" s="357"/>
      <c r="U9" s="357"/>
      <c r="V9" s="357"/>
      <c r="W9" s="357"/>
      <c r="X9" s="357"/>
      <c r="Y9" s="357"/>
      <c r="Z9" s="357"/>
      <c r="AA9" s="357"/>
      <c r="AB9" s="357"/>
      <c r="AC9" s="358"/>
      <c r="AD9" s="118">
        <f t="shared" ref="AD9:AN9" si="5">IF(AD5="","",+AD62)</f>
        <v>50000</v>
      </c>
      <c r="AE9" s="118">
        <f t="shared" si="5"/>
        <v>255000</v>
      </c>
      <c r="AF9" s="118">
        <f t="shared" si="5"/>
        <v>520200</v>
      </c>
      <c r="AG9" s="118">
        <f t="shared" si="5"/>
        <v>583664.39999999991</v>
      </c>
      <c r="AH9" s="118">
        <f t="shared" si="5"/>
        <v>622398.49199999997</v>
      </c>
      <c r="AI9" s="118">
        <f t="shared" si="5"/>
        <v>717652.52208000002</v>
      </c>
      <c r="AJ9" s="118">
        <f t="shared" si="5"/>
        <v>844621.81444800005</v>
      </c>
      <c r="AK9" s="118">
        <f t="shared" si="5"/>
        <v>775362.82566326391</v>
      </c>
      <c r="AL9" s="118">
        <f t="shared" si="5"/>
        <v>761578.59765147255</v>
      </c>
      <c r="AM9" s="118" t="str">
        <f t="shared" si="5"/>
        <v/>
      </c>
      <c r="AN9" s="118" t="str">
        <f t="shared" si="5"/>
        <v/>
      </c>
      <c r="AO9" s="100"/>
      <c r="AP9" s="100"/>
      <c r="AQ9" s="100"/>
      <c r="AR9" s="100"/>
      <c r="AS9" s="100"/>
      <c r="AT9" s="98"/>
    </row>
    <row r="10" spans="1:46" x14ac:dyDescent="0.15">
      <c r="A10" s="219"/>
      <c r="B10" s="536"/>
      <c r="C10" s="235" t="str">
        <f>I.InputData!C10</f>
        <v>Demonstration</v>
      </c>
      <c r="D10" s="236" t="str">
        <f>I.InputData!D10</f>
        <v>N/A</v>
      </c>
      <c r="E10" s="237">
        <f>I.InputData!E10</f>
        <v>600000</v>
      </c>
      <c r="F10" s="238">
        <f>I.InputData!F10</f>
        <v>0.5</v>
      </c>
      <c r="G10" s="239">
        <f>I.InputData!G10</f>
        <v>45444</v>
      </c>
      <c r="H10" s="240">
        <f>I.InputData!H10</f>
        <v>45992</v>
      </c>
      <c r="I10" s="219"/>
      <c r="J10" s="219"/>
      <c r="K10" s="219"/>
      <c r="L10" s="219"/>
      <c r="M10" s="219"/>
      <c r="N10" s="219"/>
      <c r="O10" s="219"/>
      <c r="P10" s="37"/>
      <c r="Q10" s="213"/>
      <c r="R10" s="100"/>
      <c r="S10" s="113" t="str">
        <f>+SUPPORT!AB63</f>
        <v>Service Fee Revenue</v>
      </c>
      <c r="T10" s="357"/>
      <c r="U10" s="357"/>
      <c r="V10" s="357"/>
      <c r="W10" s="357"/>
      <c r="X10" s="357"/>
      <c r="Y10" s="357"/>
      <c r="Z10" s="357"/>
      <c r="AA10" s="357"/>
      <c r="AB10" s="357"/>
      <c r="AC10" s="358"/>
      <c r="AD10" s="118">
        <f t="shared" ref="AD10:AN10" si="6">IF(AD5="","",+AD70)</f>
        <v>25000</v>
      </c>
      <c r="AE10" s="118">
        <f t="shared" si="6"/>
        <v>150450</v>
      </c>
      <c r="AF10" s="118">
        <f t="shared" si="6"/>
        <v>398213.1</v>
      </c>
      <c r="AG10" s="118">
        <f t="shared" si="6"/>
        <v>657391.82579999999</v>
      </c>
      <c r="AH10" s="118">
        <f t="shared" si="6"/>
        <v>914684.94208439987</v>
      </c>
      <c r="AI10" s="118">
        <f t="shared" si="6"/>
        <v>1198507.0378734793</v>
      </c>
      <c r="AJ10" s="118">
        <f t="shared" si="6"/>
        <v>1522540.367991854</v>
      </c>
      <c r="AK10" s="118">
        <f t="shared" si="6"/>
        <v>1785373.4706481535</v>
      </c>
      <c r="AL10" s="118">
        <f t="shared" si="6"/>
        <v>2019762.1448807414</v>
      </c>
      <c r="AM10" s="118" t="str">
        <f t="shared" si="6"/>
        <v/>
      </c>
      <c r="AN10" s="118" t="str">
        <f t="shared" si="6"/>
        <v/>
      </c>
      <c r="AO10" s="100"/>
      <c r="AP10" s="100"/>
      <c r="AQ10" s="100"/>
      <c r="AR10" s="100"/>
      <c r="AS10" s="100"/>
      <c r="AT10" s="98"/>
    </row>
    <row r="11" spans="1:46" ht="14" thickBot="1" x14ac:dyDescent="0.2">
      <c r="A11" s="219"/>
      <c r="B11" s="537"/>
      <c r="C11" s="241" t="str">
        <f>I.InputData!C11</f>
        <v>Commercial</v>
      </c>
      <c r="D11" s="242" t="str">
        <f>I.InputData!D11</f>
        <v>-</v>
      </c>
      <c r="E11" s="242" t="str">
        <f>I.InputData!E11</f>
        <v>-</v>
      </c>
      <c r="F11" s="242" t="str">
        <f>I.InputData!F11</f>
        <v>-</v>
      </c>
      <c r="G11" s="243">
        <f>I.InputData!G11</f>
        <v>45292</v>
      </c>
      <c r="H11" s="244">
        <f>I.InputData!H11</f>
        <v>48549</v>
      </c>
      <c r="I11" s="219"/>
      <c r="J11" s="219"/>
      <c r="K11" s="219"/>
      <c r="L11" s="219"/>
      <c r="M11" s="219"/>
      <c r="N11" s="219"/>
      <c r="O11" s="219"/>
      <c r="P11" s="37"/>
      <c r="Q11" s="213"/>
      <c r="R11" s="100"/>
      <c r="S11" s="119" t="str">
        <f>+SUPPORT!R91</f>
        <v>Cost of Sales (COGS)</v>
      </c>
      <c r="T11" s="359"/>
      <c r="U11" s="359"/>
      <c r="V11" s="359"/>
      <c r="W11" s="359"/>
      <c r="X11" s="359"/>
      <c r="Y11" s="359"/>
      <c r="Z11" s="359"/>
      <c r="AA11" s="359"/>
      <c r="AB11" s="359"/>
      <c r="AC11" s="360"/>
      <c r="AD11" s="120">
        <f t="shared" ref="AD11:AN11" si="7">IF(AD5="","",+SUM(AD91:AD91))</f>
        <v>160000</v>
      </c>
      <c r="AE11" s="120">
        <f t="shared" si="7"/>
        <v>816000</v>
      </c>
      <c r="AF11" s="120">
        <f t="shared" si="7"/>
        <v>1664640</v>
      </c>
      <c r="AG11" s="120">
        <f t="shared" si="7"/>
        <v>1867726.0799999998</v>
      </c>
      <c r="AH11" s="120">
        <f t="shared" si="7"/>
        <v>1991675.1743999999</v>
      </c>
      <c r="AI11" s="120">
        <f t="shared" si="7"/>
        <v>2296488.0706560002</v>
      </c>
      <c r="AJ11" s="120">
        <f t="shared" si="7"/>
        <v>2702789.8062336002</v>
      </c>
      <c r="AK11" s="120">
        <f t="shared" si="7"/>
        <v>2481161.0421224446</v>
      </c>
      <c r="AL11" s="120">
        <f t="shared" si="7"/>
        <v>2437051.5124847121</v>
      </c>
      <c r="AM11" s="120" t="str">
        <f t="shared" si="7"/>
        <v/>
      </c>
      <c r="AN11" s="120" t="str">
        <f t="shared" si="7"/>
        <v/>
      </c>
      <c r="AO11" s="100"/>
      <c r="AP11" s="100"/>
      <c r="AQ11" s="100"/>
      <c r="AR11" s="100"/>
      <c r="AS11" s="100"/>
      <c r="AT11" s="98"/>
    </row>
    <row r="12" spans="1:46" x14ac:dyDescent="0.15">
      <c r="A12" s="219"/>
      <c r="B12" s="219"/>
      <c r="C12" s="245"/>
      <c r="D12" s="219"/>
      <c r="E12" s="219"/>
      <c r="F12" s="219"/>
      <c r="G12" s="219"/>
      <c r="H12" s="219"/>
      <c r="I12" s="219"/>
      <c r="J12" s="219"/>
      <c r="K12" s="219"/>
      <c r="L12" s="219"/>
      <c r="M12" s="219"/>
      <c r="N12" s="219"/>
      <c r="O12" s="219"/>
      <c r="P12" s="38"/>
      <c r="Q12" s="213"/>
      <c r="R12" s="100"/>
      <c r="S12" s="18" t="s">
        <v>114</v>
      </c>
      <c r="T12" s="357"/>
      <c r="U12" s="357"/>
      <c r="V12" s="357"/>
      <c r="W12" s="357"/>
      <c r="X12" s="357"/>
      <c r="Y12" s="357"/>
      <c r="Z12" s="357"/>
      <c r="AA12" s="357"/>
      <c r="AB12" s="357"/>
      <c r="AC12" s="358"/>
      <c r="AD12" s="118">
        <f t="shared" ref="AD12:AN12" si="8">IF(AD5="","",+AD92)</f>
        <v>60000</v>
      </c>
      <c r="AE12" s="118">
        <f t="shared" si="8"/>
        <v>60000</v>
      </c>
      <c r="AF12" s="118">
        <f t="shared" si="8"/>
        <v>60000</v>
      </c>
      <c r="AG12" s="118">
        <f t="shared" si="8"/>
        <v>70000</v>
      </c>
      <c r="AH12" s="118">
        <f t="shared" si="8"/>
        <v>70000</v>
      </c>
      <c r="AI12" s="118">
        <f t="shared" si="8"/>
        <v>70000</v>
      </c>
      <c r="AJ12" s="118">
        <f t="shared" si="8"/>
        <v>75000</v>
      </c>
      <c r="AK12" s="118">
        <f t="shared" si="8"/>
        <v>75000</v>
      </c>
      <c r="AL12" s="118">
        <f t="shared" si="8"/>
        <v>75000</v>
      </c>
      <c r="AM12" s="118" t="str">
        <f t="shared" si="8"/>
        <v/>
      </c>
      <c r="AN12" s="118" t="str">
        <f t="shared" si="8"/>
        <v/>
      </c>
      <c r="AO12" s="100"/>
      <c r="AP12" s="100"/>
      <c r="AQ12" s="100"/>
      <c r="AR12" s="100"/>
      <c r="AS12" s="100"/>
      <c r="AT12" s="98"/>
    </row>
    <row r="13" spans="1:46" x14ac:dyDescent="0.15">
      <c r="A13" s="219"/>
      <c r="B13" s="219"/>
      <c r="C13" s="219"/>
      <c r="D13" s="219"/>
      <c r="E13" s="219"/>
      <c r="F13" s="219"/>
      <c r="G13" s="219"/>
      <c r="H13" s="219"/>
      <c r="I13" s="219"/>
      <c r="J13" s="219"/>
      <c r="K13" s="219"/>
      <c r="L13" s="219"/>
      <c r="M13" s="219"/>
      <c r="N13" s="219"/>
      <c r="O13" s="219"/>
      <c r="P13" s="37"/>
      <c r="Q13" s="213"/>
      <c r="R13" s="100"/>
      <c r="S13" s="18" t="s">
        <v>112</v>
      </c>
      <c r="T13" s="357"/>
      <c r="U13" s="357"/>
      <c r="V13" s="357"/>
      <c r="W13" s="357"/>
      <c r="X13" s="357"/>
      <c r="Y13" s="357"/>
      <c r="Z13" s="357"/>
      <c r="AA13" s="357"/>
      <c r="AB13" s="357"/>
      <c r="AC13" s="358"/>
      <c r="AD13" s="118">
        <f t="shared" ref="AD13:AN13" si="9">IF(AD5="","",+AD93)</f>
        <v>45000</v>
      </c>
      <c r="AE13" s="118">
        <f t="shared" si="9"/>
        <v>45000</v>
      </c>
      <c r="AF13" s="118">
        <f t="shared" si="9"/>
        <v>45000</v>
      </c>
      <c r="AG13" s="118">
        <f t="shared" si="9"/>
        <v>55000</v>
      </c>
      <c r="AH13" s="118">
        <f t="shared" si="9"/>
        <v>55000</v>
      </c>
      <c r="AI13" s="118">
        <f t="shared" si="9"/>
        <v>55000</v>
      </c>
      <c r="AJ13" s="118">
        <f t="shared" si="9"/>
        <v>60000</v>
      </c>
      <c r="AK13" s="118">
        <f t="shared" si="9"/>
        <v>60000</v>
      </c>
      <c r="AL13" s="118">
        <f t="shared" si="9"/>
        <v>60000</v>
      </c>
      <c r="AM13" s="118" t="str">
        <f t="shared" si="9"/>
        <v/>
      </c>
      <c r="AN13" s="118" t="str">
        <f t="shared" si="9"/>
        <v/>
      </c>
      <c r="AO13" s="100"/>
      <c r="AP13" s="100"/>
      <c r="AQ13" s="100"/>
      <c r="AR13" s="100"/>
      <c r="AS13" s="100"/>
      <c r="AT13" s="98"/>
    </row>
    <row r="14" spans="1:46" ht="16" thickBot="1" x14ac:dyDescent="0.25">
      <c r="A14" s="219"/>
      <c r="B14" s="219"/>
      <c r="C14" s="223" t="str">
        <f>I.InputData!C14</f>
        <v>Table 2. Pricing and Cost of Sales</v>
      </c>
      <c r="D14" s="219"/>
      <c r="E14" s="219"/>
      <c r="F14" s="219"/>
      <c r="G14" s="219"/>
      <c r="H14" s="219"/>
      <c r="I14" s="219"/>
      <c r="J14" s="219"/>
      <c r="K14" s="219"/>
      <c r="L14" s="224"/>
      <c r="M14" s="219"/>
      <c r="N14" s="219"/>
      <c r="O14" s="219"/>
      <c r="P14" s="37"/>
      <c r="Q14" s="213"/>
      <c r="R14" s="100"/>
      <c r="S14" s="18" t="s">
        <v>113</v>
      </c>
      <c r="T14" s="357"/>
      <c r="U14" s="357"/>
      <c r="V14" s="357"/>
      <c r="W14" s="357"/>
      <c r="X14" s="357"/>
      <c r="Y14" s="357"/>
      <c r="Z14" s="357"/>
      <c r="AA14" s="357"/>
      <c r="AB14" s="357"/>
      <c r="AC14" s="358"/>
      <c r="AD14" s="118">
        <f t="shared" ref="AD14:AN14" si="10">IF(AD5="","",+AD94)</f>
        <v>35000</v>
      </c>
      <c r="AE14" s="118">
        <f t="shared" si="10"/>
        <v>35000</v>
      </c>
      <c r="AF14" s="118">
        <f t="shared" si="10"/>
        <v>35000</v>
      </c>
      <c r="AG14" s="118">
        <f t="shared" si="10"/>
        <v>45000</v>
      </c>
      <c r="AH14" s="118">
        <f t="shared" si="10"/>
        <v>45000</v>
      </c>
      <c r="AI14" s="118">
        <f t="shared" si="10"/>
        <v>45000</v>
      </c>
      <c r="AJ14" s="118">
        <f t="shared" si="10"/>
        <v>50000</v>
      </c>
      <c r="AK14" s="118">
        <f t="shared" si="10"/>
        <v>50000</v>
      </c>
      <c r="AL14" s="118">
        <f t="shared" si="10"/>
        <v>50000</v>
      </c>
      <c r="AM14" s="118" t="str">
        <f t="shared" si="10"/>
        <v/>
      </c>
      <c r="AN14" s="118" t="str">
        <f t="shared" si="10"/>
        <v/>
      </c>
      <c r="AO14" s="100"/>
      <c r="AP14" s="100"/>
      <c r="AQ14" s="100"/>
      <c r="AR14" s="100"/>
      <c r="AS14" s="100"/>
      <c r="AT14" s="98"/>
    </row>
    <row r="15" spans="1:46" x14ac:dyDescent="0.15">
      <c r="A15" s="219"/>
      <c r="B15" s="246"/>
      <c r="C15" s="538" t="str">
        <f>I.InputData!C15</f>
        <v>Customer Segments</v>
      </c>
      <c r="D15" s="539" t="str">
        <f>I.InputData!D15</f>
        <v>Unit price
(one-off)</v>
      </c>
      <c r="E15" s="539" t="str">
        <f>I.InputData!E15</f>
        <v>Installation charge per unit
(one-off)</v>
      </c>
      <c r="F15" s="539" t="str">
        <f>I.InputData!F15</f>
        <v>Service fee per unit per year 
(recurrent)</v>
      </c>
      <c r="G15" s="541" t="str">
        <f>I.InputData!G15</f>
        <v>Cost of Sales per unit
(one-off)</v>
      </c>
      <c r="H15" s="219"/>
      <c r="I15" s="219"/>
      <c r="J15" s="219"/>
      <c r="K15" s="219"/>
      <c r="L15" s="219"/>
      <c r="M15" s="219"/>
      <c r="N15" s="219"/>
      <c r="O15" s="219"/>
      <c r="P15" s="37"/>
      <c r="Q15" s="213"/>
      <c r="R15" s="100"/>
      <c r="S15" s="121" t="s">
        <v>55</v>
      </c>
      <c r="T15" s="357"/>
      <c r="U15" s="357"/>
      <c r="V15" s="357"/>
      <c r="W15" s="357"/>
      <c r="X15" s="357"/>
      <c r="Y15" s="357"/>
      <c r="Z15" s="357"/>
      <c r="AA15" s="357"/>
      <c r="AB15" s="357"/>
      <c r="AC15" s="358"/>
      <c r="AD15" s="118">
        <f t="shared" ref="AD15:AN15" si="11">IF(AD5="","",+AD95+AD96+AD97)</f>
        <v>0</v>
      </c>
      <c r="AE15" s="118">
        <f t="shared" si="11"/>
        <v>0</v>
      </c>
      <c r="AF15" s="118">
        <f t="shared" si="11"/>
        <v>0</v>
      </c>
      <c r="AG15" s="118">
        <f t="shared" si="11"/>
        <v>0</v>
      </c>
      <c r="AH15" s="118">
        <f t="shared" si="11"/>
        <v>0</v>
      </c>
      <c r="AI15" s="118">
        <f t="shared" si="11"/>
        <v>0</v>
      </c>
      <c r="AJ15" s="118">
        <f t="shared" si="11"/>
        <v>0</v>
      </c>
      <c r="AK15" s="118">
        <f t="shared" si="11"/>
        <v>0</v>
      </c>
      <c r="AL15" s="118">
        <f t="shared" si="11"/>
        <v>0</v>
      </c>
      <c r="AM15" s="118" t="str">
        <f t="shared" si="11"/>
        <v/>
      </c>
      <c r="AN15" s="118" t="str">
        <f t="shared" si="11"/>
        <v/>
      </c>
      <c r="AO15" s="100"/>
      <c r="AP15" s="100"/>
      <c r="AQ15" s="100"/>
      <c r="AR15" s="100"/>
      <c r="AS15" s="100"/>
      <c r="AT15" s="98"/>
    </row>
    <row r="16" spans="1:46" ht="19.5" customHeight="1" thickBot="1" x14ac:dyDescent="0.2">
      <c r="A16" s="219"/>
      <c r="B16" s="247"/>
      <c r="C16" s="525"/>
      <c r="D16" s="540"/>
      <c r="E16" s="540"/>
      <c r="F16" s="540"/>
      <c r="G16" s="542"/>
      <c r="H16" s="219"/>
      <c r="I16" s="219"/>
      <c r="J16" s="219"/>
      <c r="K16" s="219"/>
      <c r="L16" s="219"/>
      <c r="M16" s="219"/>
      <c r="N16" s="219"/>
      <c r="O16" s="219"/>
      <c r="P16" s="37"/>
      <c r="Q16" s="213"/>
      <c r="R16" s="100"/>
      <c r="S16" s="122" t="s">
        <v>98</v>
      </c>
      <c r="T16" s="123" t="str">
        <f t="shared" ref="T16:AC16" si="12">IF((T5=""),"",+T83+T84+T85+T86)</f>
        <v/>
      </c>
      <c r="U16" s="124" t="str">
        <f t="shared" si="12"/>
        <v/>
      </c>
      <c r="V16" s="124" t="str">
        <f t="shared" si="12"/>
        <v/>
      </c>
      <c r="W16" s="124" t="str">
        <f t="shared" si="12"/>
        <v/>
      </c>
      <c r="X16" s="124" t="str">
        <f t="shared" si="12"/>
        <v/>
      </c>
      <c r="Y16" s="124" t="str">
        <f t="shared" si="12"/>
        <v/>
      </c>
      <c r="Z16" s="124" t="str">
        <f t="shared" si="12"/>
        <v/>
      </c>
      <c r="AA16" s="124" t="str">
        <f t="shared" si="12"/>
        <v/>
      </c>
      <c r="AB16" s="124">
        <f t="shared" si="12"/>
        <v>500000</v>
      </c>
      <c r="AC16" s="125">
        <f t="shared" si="12"/>
        <v>1268131.8681318681</v>
      </c>
      <c r="AD16" s="124">
        <f t="shared" ref="AD16:AN16" si="13">IF(AD5="","",+AD83+AD84+AD85+AD86)</f>
        <v>531868.13186813192</v>
      </c>
      <c r="AE16" s="124">
        <f t="shared" si="13"/>
        <v>0</v>
      </c>
      <c r="AF16" s="124">
        <f t="shared" si="13"/>
        <v>0</v>
      </c>
      <c r="AG16" s="124">
        <f t="shared" si="13"/>
        <v>0</v>
      </c>
      <c r="AH16" s="124">
        <f t="shared" si="13"/>
        <v>0</v>
      </c>
      <c r="AI16" s="124">
        <f t="shared" si="13"/>
        <v>0</v>
      </c>
      <c r="AJ16" s="124">
        <f t="shared" si="13"/>
        <v>0</v>
      </c>
      <c r="AK16" s="124">
        <f t="shared" si="13"/>
        <v>0</v>
      </c>
      <c r="AL16" s="124">
        <f t="shared" si="13"/>
        <v>0</v>
      </c>
      <c r="AM16" s="124" t="str">
        <f t="shared" si="13"/>
        <v/>
      </c>
      <c r="AN16" s="124" t="str">
        <f t="shared" si="13"/>
        <v/>
      </c>
      <c r="AO16" s="100"/>
      <c r="AP16" s="100"/>
      <c r="AQ16" s="100"/>
      <c r="AR16" s="100"/>
      <c r="AS16" s="100"/>
      <c r="AT16" s="98"/>
    </row>
    <row r="17" spans="1:46" ht="15.75" customHeight="1" x14ac:dyDescent="0.15">
      <c r="A17" s="219"/>
      <c r="B17" s="535" t="str">
        <f>I.InputData!B17</f>
        <v>Revenue Stream</v>
      </c>
      <c r="C17" s="248" t="str">
        <f>I.InputData!C17</f>
        <v>Customer Segment 1 (CS1)</v>
      </c>
      <c r="D17" s="249">
        <f>I.InputData!D17</f>
        <v>17000</v>
      </c>
      <c r="E17" s="249">
        <f>I.InputData!E17</f>
        <v>5000</v>
      </c>
      <c r="F17" s="249">
        <f>I.InputData!F17</f>
        <v>2500</v>
      </c>
      <c r="G17" s="250">
        <f>I.InputData!G17</f>
        <v>16000</v>
      </c>
      <c r="H17" s="219"/>
      <c r="I17" s="219"/>
      <c r="J17" s="219"/>
      <c r="K17" s="219"/>
      <c r="L17" s="219"/>
      <c r="M17" s="219"/>
      <c r="N17" s="219"/>
      <c r="O17" s="219"/>
      <c r="P17" s="37"/>
      <c r="Q17" s="213"/>
      <c r="R17" s="100"/>
      <c r="S17" s="126" t="s">
        <v>100</v>
      </c>
      <c r="T17" s="127" t="str">
        <f t="shared" ref="T17:AC17" si="14">IF((T5=""),"",-(T87+T88+T89+T90))</f>
        <v/>
      </c>
      <c r="U17" s="128" t="str">
        <f t="shared" si="14"/>
        <v/>
      </c>
      <c r="V17" s="128" t="str">
        <f t="shared" si="14"/>
        <v/>
      </c>
      <c r="W17" s="128" t="str">
        <f t="shared" si="14"/>
        <v/>
      </c>
      <c r="X17" s="128" t="str">
        <f t="shared" si="14"/>
        <v/>
      </c>
      <c r="Y17" s="128" t="str">
        <f t="shared" si="14"/>
        <v/>
      </c>
      <c r="Z17" s="128" t="str">
        <f t="shared" si="14"/>
        <v/>
      </c>
      <c r="AA17" s="128" t="str">
        <f t="shared" si="14"/>
        <v/>
      </c>
      <c r="AB17" s="128">
        <f t="shared" si="14"/>
        <v>0</v>
      </c>
      <c r="AC17" s="129">
        <f t="shared" si="14"/>
        <v>-884065.93406593404</v>
      </c>
      <c r="AD17" s="128">
        <f t="shared" ref="AD17:AN17" si="15">IF(AD5="","",-(AD87+AD88+AD89+AD90))</f>
        <v>-265934.06593406596</v>
      </c>
      <c r="AE17" s="128">
        <f t="shared" si="15"/>
        <v>0</v>
      </c>
      <c r="AF17" s="128">
        <f t="shared" si="15"/>
        <v>0</v>
      </c>
      <c r="AG17" s="128">
        <f t="shared" si="15"/>
        <v>0</v>
      </c>
      <c r="AH17" s="128">
        <f t="shared" si="15"/>
        <v>0</v>
      </c>
      <c r="AI17" s="128">
        <f t="shared" si="15"/>
        <v>0</v>
      </c>
      <c r="AJ17" s="128">
        <f t="shared" si="15"/>
        <v>0</v>
      </c>
      <c r="AK17" s="128">
        <f t="shared" si="15"/>
        <v>0</v>
      </c>
      <c r="AL17" s="128">
        <f t="shared" si="15"/>
        <v>0</v>
      </c>
      <c r="AM17" s="128" t="str">
        <f t="shared" si="15"/>
        <v/>
      </c>
      <c r="AN17" s="128" t="str">
        <f t="shared" si="15"/>
        <v/>
      </c>
      <c r="AO17" s="100"/>
      <c r="AP17" s="100"/>
      <c r="AQ17" s="100"/>
      <c r="AR17" s="100"/>
      <c r="AS17" s="100"/>
      <c r="AT17" s="98"/>
    </row>
    <row r="18" spans="1:46" x14ac:dyDescent="0.15">
      <c r="A18" s="219"/>
      <c r="B18" s="536"/>
      <c r="C18" s="251" t="str">
        <f>I.InputData!C18</f>
        <v>Customer Segment 2 (CS2)</v>
      </c>
      <c r="D18" s="252">
        <f>I.InputData!D18</f>
        <v>0</v>
      </c>
      <c r="E18" s="252">
        <f>I.InputData!E18</f>
        <v>0</v>
      </c>
      <c r="F18" s="252">
        <f>I.InputData!F18</f>
        <v>0</v>
      </c>
      <c r="G18" s="253">
        <f>I.InputData!G18</f>
        <v>0</v>
      </c>
      <c r="H18" s="219"/>
      <c r="I18" s="219"/>
      <c r="J18" s="219"/>
      <c r="K18" s="219"/>
      <c r="L18" s="219"/>
      <c r="M18" s="219"/>
      <c r="N18" s="219"/>
      <c r="O18" s="219"/>
      <c r="P18" s="37"/>
      <c r="Q18" s="213"/>
      <c r="R18" s="100"/>
      <c r="S18" s="119" t="s">
        <v>108</v>
      </c>
      <c r="T18" s="131"/>
      <c r="U18" s="131"/>
      <c r="V18" s="131"/>
      <c r="W18" s="131"/>
      <c r="X18" s="131"/>
      <c r="Y18" s="131"/>
      <c r="Z18" s="131"/>
      <c r="AA18" s="131"/>
      <c r="AB18" s="131"/>
      <c r="AC18" s="132"/>
      <c r="AD18" s="133">
        <f t="shared" ref="AD18:AN18" si="16">IF(AD5="","",+AD160)</f>
        <v>0</v>
      </c>
      <c r="AE18" s="133">
        <f t="shared" si="16"/>
        <v>4000</v>
      </c>
      <c r="AF18" s="133">
        <f t="shared" si="16"/>
        <v>4000</v>
      </c>
      <c r="AG18" s="133">
        <f t="shared" si="16"/>
        <v>4000</v>
      </c>
      <c r="AH18" s="133">
        <f t="shared" si="16"/>
        <v>4000</v>
      </c>
      <c r="AI18" s="133">
        <f t="shared" si="16"/>
        <v>4000</v>
      </c>
      <c r="AJ18" s="133">
        <f t="shared" si="16"/>
        <v>0</v>
      </c>
      <c r="AK18" s="133">
        <f t="shared" si="16"/>
        <v>0</v>
      </c>
      <c r="AL18" s="133">
        <f t="shared" si="16"/>
        <v>0</v>
      </c>
      <c r="AM18" s="133" t="str">
        <f t="shared" si="16"/>
        <v/>
      </c>
      <c r="AN18" s="133" t="str">
        <f t="shared" si="16"/>
        <v/>
      </c>
      <c r="AO18" s="100"/>
      <c r="AP18" s="100"/>
      <c r="AQ18" s="100"/>
      <c r="AR18" s="100"/>
      <c r="AS18" s="100"/>
      <c r="AT18" s="98"/>
    </row>
    <row r="19" spans="1:46" x14ac:dyDescent="0.15">
      <c r="A19" s="219"/>
      <c r="B19" s="536"/>
      <c r="C19" s="251" t="str">
        <f>I.InputData!C19</f>
        <v>Customer Segment 3 (CS3)</v>
      </c>
      <c r="D19" s="252">
        <f>I.InputData!D19</f>
        <v>0</v>
      </c>
      <c r="E19" s="252">
        <f>I.InputData!E19</f>
        <v>0</v>
      </c>
      <c r="F19" s="252">
        <f>I.InputData!F19</f>
        <v>0</v>
      </c>
      <c r="G19" s="253">
        <f>I.InputData!G19</f>
        <v>0</v>
      </c>
      <c r="H19" s="219"/>
      <c r="I19" s="219"/>
      <c r="J19" s="219"/>
      <c r="K19" s="219"/>
      <c r="L19" s="219"/>
      <c r="M19" s="219"/>
      <c r="N19" s="219"/>
      <c r="O19" s="219"/>
      <c r="P19" s="37"/>
      <c r="Q19" s="213"/>
      <c r="R19" s="100"/>
      <c r="S19" s="119" t="s">
        <v>26</v>
      </c>
      <c r="T19" s="135"/>
      <c r="U19" s="131"/>
      <c r="V19" s="131"/>
      <c r="W19" s="131"/>
      <c r="X19" s="131"/>
      <c r="Y19" s="131"/>
      <c r="Z19" s="131"/>
      <c r="AA19" s="131"/>
      <c r="AB19" s="131"/>
      <c r="AC19" s="132"/>
      <c r="AD19" s="133">
        <f t="shared" ref="AD19:AN19" si="17">IF(AD5="","",-(AD100+AD103))</f>
        <v>0</v>
      </c>
      <c r="AE19" s="133">
        <f t="shared" si="17"/>
        <v>-20000</v>
      </c>
      <c r="AF19" s="133">
        <f t="shared" si="17"/>
        <v>0</v>
      </c>
      <c r="AG19" s="133">
        <f t="shared" si="17"/>
        <v>0</v>
      </c>
      <c r="AH19" s="133">
        <f t="shared" si="17"/>
        <v>0</v>
      </c>
      <c r="AI19" s="133">
        <f t="shared" si="17"/>
        <v>0</v>
      </c>
      <c r="AJ19" s="133">
        <f t="shared" si="17"/>
        <v>0</v>
      </c>
      <c r="AK19" s="133">
        <f t="shared" si="17"/>
        <v>0</v>
      </c>
      <c r="AL19" s="133">
        <f t="shared" si="17"/>
        <v>0</v>
      </c>
      <c r="AM19" s="133" t="str">
        <f t="shared" si="17"/>
        <v/>
      </c>
      <c r="AN19" s="133" t="str">
        <f t="shared" si="17"/>
        <v/>
      </c>
      <c r="AO19" s="100"/>
      <c r="AP19" s="100"/>
      <c r="AQ19" s="100"/>
      <c r="AR19" s="100"/>
      <c r="AS19" s="100"/>
      <c r="AT19" s="98"/>
    </row>
    <row r="20" spans="1:46" x14ac:dyDescent="0.15">
      <c r="A20" s="219"/>
      <c r="B20" s="536"/>
      <c r="C20" s="251" t="str">
        <f>I.InputData!C20</f>
        <v>Customer Segment 4 (CS4)</v>
      </c>
      <c r="D20" s="252">
        <f>I.InputData!D20</f>
        <v>0</v>
      </c>
      <c r="E20" s="252">
        <f>I.InputData!E20</f>
        <v>0</v>
      </c>
      <c r="F20" s="252">
        <f>I.InputData!F20</f>
        <v>0</v>
      </c>
      <c r="G20" s="253">
        <f>I.InputData!G20</f>
        <v>0</v>
      </c>
      <c r="H20" s="219"/>
      <c r="I20" s="219"/>
      <c r="J20" s="219"/>
      <c r="K20" s="219"/>
      <c r="L20" s="219"/>
      <c r="M20" s="219"/>
      <c r="N20" s="219"/>
      <c r="O20" s="219"/>
      <c r="P20" s="37"/>
      <c r="Q20" s="213"/>
      <c r="R20" s="100"/>
      <c r="S20" s="100"/>
      <c r="T20" s="100"/>
      <c r="U20" s="100"/>
      <c r="V20" s="100"/>
      <c r="W20" s="100"/>
      <c r="X20" s="100"/>
      <c r="Y20" s="100"/>
      <c r="Z20" s="100"/>
      <c r="AA20" s="100"/>
      <c r="AB20" s="100"/>
      <c r="AC20" s="102"/>
      <c r="AD20" s="100"/>
      <c r="AE20" s="100"/>
      <c r="AF20" s="100"/>
      <c r="AG20" s="100"/>
      <c r="AH20" s="100"/>
      <c r="AI20" s="100"/>
      <c r="AJ20" s="100"/>
      <c r="AK20" s="100"/>
      <c r="AL20" s="100"/>
      <c r="AM20" s="100"/>
      <c r="AN20" s="100"/>
      <c r="AO20" s="100"/>
      <c r="AP20" s="100"/>
      <c r="AQ20" s="100"/>
      <c r="AR20" s="100"/>
      <c r="AS20" s="100"/>
      <c r="AT20" s="98"/>
    </row>
    <row r="21" spans="1:46" ht="14" x14ac:dyDescent="0.15">
      <c r="A21" s="219"/>
      <c r="B21" s="536"/>
      <c r="C21" s="251" t="str">
        <f>I.InputData!C21</f>
        <v>Customer Segment 5 (CS5)</v>
      </c>
      <c r="D21" s="254">
        <f>I.InputData!D21</f>
        <v>0</v>
      </c>
      <c r="E21" s="254">
        <f>I.InputData!E21</f>
        <v>0</v>
      </c>
      <c r="F21" s="254">
        <f>I.InputData!F21</f>
        <v>0</v>
      </c>
      <c r="G21" s="255">
        <f>I.InputData!G21</f>
        <v>0</v>
      </c>
      <c r="H21" s="219"/>
      <c r="I21" s="219"/>
      <c r="J21" s="219"/>
      <c r="K21" s="219"/>
      <c r="L21" s="219"/>
      <c r="M21" s="219"/>
      <c r="N21" s="219"/>
      <c r="O21" s="219"/>
      <c r="P21" s="37"/>
      <c r="Q21" s="213"/>
      <c r="R21" s="100"/>
      <c r="S21" s="105" t="s">
        <v>134</v>
      </c>
      <c r="T21" s="100"/>
      <c r="U21" s="100"/>
      <c r="V21" s="100"/>
      <c r="W21" s="100"/>
      <c r="X21" s="100"/>
      <c r="Y21" s="100"/>
      <c r="Z21" s="100"/>
      <c r="AA21" s="100"/>
      <c r="AB21" s="100"/>
      <c r="AC21" s="102"/>
      <c r="AD21" s="100"/>
      <c r="AE21" s="100"/>
      <c r="AF21" s="100"/>
      <c r="AG21" s="100"/>
      <c r="AH21" s="100"/>
      <c r="AI21" s="100"/>
      <c r="AJ21" s="100"/>
      <c r="AK21" s="100"/>
      <c r="AL21" s="100"/>
      <c r="AM21" s="100"/>
      <c r="AN21" s="100"/>
      <c r="AO21" s="100"/>
      <c r="AP21" s="100"/>
      <c r="AQ21" s="100"/>
      <c r="AR21" s="100"/>
      <c r="AS21" s="100"/>
      <c r="AT21" s="98"/>
    </row>
    <row r="22" spans="1:46" ht="24" x14ac:dyDescent="0.15">
      <c r="A22" s="219"/>
      <c r="B22" s="536"/>
      <c r="C22" s="251" t="str">
        <f>I.InputData!C22</f>
        <v>Customer Segment 6 (CS6)</v>
      </c>
      <c r="D22" s="254">
        <f>I.InputData!D22</f>
        <v>0</v>
      </c>
      <c r="E22" s="254">
        <f>I.InputData!E22</f>
        <v>0</v>
      </c>
      <c r="F22" s="254">
        <f>I.InputData!F22</f>
        <v>0</v>
      </c>
      <c r="G22" s="255">
        <f>I.InputData!G22</f>
        <v>0</v>
      </c>
      <c r="H22" s="219"/>
      <c r="I22" s="219"/>
      <c r="J22" s="219"/>
      <c r="K22" s="219"/>
      <c r="L22" s="219"/>
      <c r="M22" s="219"/>
      <c r="N22" s="219"/>
      <c r="O22" s="219"/>
      <c r="P22" s="37"/>
      <c r="Q22" s="213"/>
      <c r="R22" s="100"/>
      <c r="S22" s="212" t="s">
        <v>125</v>
      </c>
      <c r="T22" s="212" t="s">
        <v>127</v>
      </c>
      <c r="U22" s="212" t="s">
        <v>126</v>
      </c>
      <c r="V22" s="212" t="s">
        <v>129</v>
      </c>
      <c r="W22" s="212" t="s">
        <v>128</v>
      </c>
      <c r="X22" s="212" t="s">
        <v>130</v>
      </c>
      <c r="Y22" s="212" t="s">
        <v>121</v>
      </c>
      <c r="Z22" s="212" t="s">
        <v>131</v>
      </c>
      <c r="AA22" s="100"/>
      <c r="AB22" s="100"/>
      <c r="AC22" s="102"/>
      <c r="AD22" s="100"/>
      <c r="AE22" s="100"/>
      <c r="AF22" s="100"/>
      <c r="AG22" s="100"/>
      <c r="AH22" s="100"/>
      <c r="AI22" s="100"/>
      <c r="AJ22" s="100"/>
      <c r="AK22" s="100"/>
      <c r="AL22" s="100"/>
      <c r="AM22" s="100"/>
      <c r="AN22" s="100"/>
      <c r="AO22" s="100"/>
      <c r="AP22" s="100"/>
      <c r="AQ22" s="100"/>
      <c r="AR22" s="100"/>
      <c r="AS22" s="100"/>
      <c r="AT22" s="98"/>
    </row>
    <row r="23" spans="1:46" ht="14" thickBot="1" x14ac:dyDescent="0.2">
      <c r="A23" s="219"/>
      <c r="B23" s="537"/>
      <c r="C23" s="251" t="str">
        <f>I.InputData!C23</f>
        <v>Customer Segment 7 (CS7)</v>
      </c>
      <c r="D23" s="254">
        <f>I.InputData!D23</f>
        <v>0</v>
      </c>
      <c r="E23" s="254">
        <f>I.InputData!E23</f>
        <v>0</v>
      </c>
      <c r="F23" s="254">
        <f>I.InputData!F23</f>
        <v>0</v>
      </c>
      <c r="G23" s="255">
        <f>I.InputData!G23</f>
        <v>0</v>
      </c>
      <c r="H23" s="219"/>
      <c r="I23" s="219"/>
      <c r="J23" s="219"/>
      <c r="K23" s="219"/>
      <c r="L23" s="219"/>
      <c r="M23" s="219"/>
      <c r="N23" s="219"/>
      <c r="O23" s="219"/>
      <c r="P23" s="37"/>
      <c r="Q23" s="213"/>
      <c r="R23" s="368" t="s">
        <v>41</v>
      </c>
      <c r="S23" s="367">
        <f>IF(G7&lt;$G$11,-DATEDIF(G7+DAY(1),$G$11,"Y")-1,DATEDIF($G$11,G7,"Y"))</f>
        <v>-2</v>
      </c>
      <c r="T23" s="133">
        <f>+(H7-G7)/365</f>
        <v>0.24931506849315069</v>
      </c>
      <c r="U23" s="133">
        <f>IF(H7&lt;=$G$11,-DATEDIF(H7,$G$11,"Y")-1,DATEDIF($G$11+DAY(1),H7,"Y"))</f>
        <v>-2</v>
      </c>
      <c r="V23" s="133">
        <f>IF(DAY($G$11)/31+MONTH($G$11)&gt;DAY(G7)/31+MONTH(G7),DATE(YEAR(G7),MONTH($G$11),DAY($G$11))-G7,DATE(YEAR(G7)+1,MONTH($G$11),DAY($G$11))-G7)</f>
        <v>122</v>
      </c>
      <c r="W23" s="133">
        <f>H7-G7</f>
        <v>91</v>
      </c>
      <c r="X23" s="133">
        <f>IF(DAY($G$11)/31+MONTH($G$11)&gt;=DAY(H7)/31+MONTH(H7),H7-DATE(YEAR(H7)-1,MONTH($G$11),DAY($G$11)),H7-DATE(YEAR(H7),MONTH($G$11),DAY($G$11)))</f>
        <v>334</v>
      </c>
      <c r="Y23" s="133">
        <f>IF(OR(D7=$AA$23,D7=$AA$24),1,0)</f>
        <v>1</v>
      </c>
      <c r="Z23" s="134">
        <f>IF(D7=$AA$23,1,0)</f>
        <v>0</v>
      </c>
      <c r="AA23" s="214" t="s">
        <v>67</v>
      </c>
      <c r="AB23" s="100"/>
      <c r="AC23" s="102"/>
      <c r="AD23" s="100"/>
      <c r="AE23" s="100"/>
      <c r="AF23" s="100"/>
      <c r="AG23" s="100"/>
      <c r="AH23" s="100"/>
      <c r="AI23" s="100"/>
      <c r="AJ23" s="100"/>
      <c r="AK23" s="100"/>
      <c r="AL23" s="100"/>
      <c r="AM23" s="100"/>
      <c r="AN23" s="100"/>
      <c r="AO23" s="100"/>
      <c r="AP23" s="100"/>
      <c r="AQ23" s="100"/>
      <c r="AR23" s="100"/>
      <c r="AS23" s="100"/>
      <c r="AT23" s="98"/>
    </row>
    <row r="24" spans="1:46" x14ac:dyDescent="0.15">
      <c r="A24" s="219"/>
      <c r="B24" s="256"/>
      <c r="C24" s="257" t="str">
        <f>I.InputData!C24</f>
        <v>Annual increase (%)</v>
      </c>
      <c r="D24" s="258">
        <f>I.InputData!D24</f>
        <v>0.02</v>
      </c>
      <c r="E24" s="258">
        <f>I.InputData!E24</f>
        <v>0.02</v>
      </c>
      <c r="F24" s="258">
        <f>I.InputData!F24</f>
        <v>0.02</v>
      </c>
      <c r="G24" s="259">
        <f>I.InputData!G24</f>
        <v>0.02</v>
      </c>
      <c r="H24" s="219"/>
      <c r="I24" s="219"/>
      <c r="J24" s="219"/>
      <c r="K24" s="219"/>
      <c r="L24" s="219"/>
      <c r="M24" s="219"/>
      <c r="N24" s="219"/>
      <c r="O24" s="219"/>
      <c r="P24" s="37"/>
      <c r="Q24" s="213"/>
      <c r="R24" s="368" t="s">
        <v>42</v>
      </c>
      <c r="S24" s="127">
        <f>IF(G8&lt;$G$11,-DATEDIF(G8+DAY(1),$G$11,"Y")-1,DATEDIF($G$11,G8,"Y"))</f>
        <v>-1</v>
      </c>
      <c r="T24" s="128">
        <f>+(H8-G8)/365</f>
        <v>0.74794520547945209</v>
      </c>
      <c r="U24" s="133">
        <f>IF(H8&lt;=$G$11,-DATEDIF(H8,$G$11,"Y")-1,DATEDIF($G$11+DAY(1),H8,"Y"))</f>
        <v>-1</v>
      </c>
      <c r="V24" s="128">
        <f>IF(DAY($G$11)/31+MONTH($G$11)&gt;DAY(G8)/31+MONTH(G8),DATE(YEAR(G8),MONTH($G$11),DAY($G$11))-G8,DATE(YEAR(G8)+1,MONTH($G$11),DAY($G$11))-G8)</f>
        <v>365</v>
      </c>
      <c r="W24" s="128">
        <f>H8-G8</f>
        <v>273</v>
      </c>
      <c r="X24" s="128">
        <f>IF(DAY($G$11)/31+MONTH($G$11)&gt;=DAY(H8)/31+MONTH(H8),H8-DATE(YEAR(H8)-1,MONTH($G$11),DAY($G$11)),H8-DATE(YEAR(H8),MONTH($G$11),DAY($G$11)))</f>
        <v>273</v>
      </c>
      <c r="Y24" s="133">
        <f>IF(OR(D8=$AA$23,D8=$AA$24),1,0)</f>
        <v>1</v>
      </c>
      <c r="Z24" s="134">
        <f>IF(D8=$AA$23,1,0)</f>
        <v>1</v>
      </c>
      <c r="AA24" s="214" t="s">
        <v>144</v>
      </c>
      <c r="AB24" s="100"/>
      <c r="AC24" s="102"/>
      <c r="AD24" s="100"/>
      <c r="AE24" s="100"/>
      <c r="AF24" s="100"/>
      <c r="AG24" s="100"/>
      <c r="AH24" s="100"/>
      <c r="AI24" s="100"/>
      <c r="AJ24" s="100"/>
      <c r="AK24" s="100"/>
      <c r="AL24" s="100"/>
      <c r="AM24" s="100"/>
      <c r="AN24" s="100"/>
      <c r="AO24" s="100"/>
      <c r="AP24" s="100"/>
      <c r="AQ24" s="100"/>
      <c r="AR24" s="100"/>
      <c r="AS24" s="100"/>
      <c r="AT24" s="98"/>
    </row>
    <row r="25" spans="1:46" ht="14" thickBot="1" x14ac:dyDescent="0.2">
      <c r="A25" s="219"/>
      <c r="B25" s="246"/>
      <c r="C25" s="257" t="str">
        <f>I.InputData!C25</f>
        <v>Churn Rate (%)</v>
      </c>
      <c r="D25" s="260"/>
      <c r="E25" s="261"/>
      <c r="F25" s="262">
        <f>I.InputData!F25</f>
        <v>0.1</v>
      </c>
      <c r="G25" s="263"/>
      <c r="H25" s="219"/>
      <c r="I25" s="224"/>
      <c r="J25" s="219"/>
      <c r="K25" s="219"/>
      <c r="L25" s="219"/>
      <c r="M25" s="219"/>
      <c r="N25" s="219"/>
      <c r="O25" s="219"/>
      <c r="P25" s="37"/>
      <c r="Q25" s="213"/>
      <c r="R25" s="368" t="s">
        <v>23</v>
      </c>
      <c r="S25" s="127">
        <f>IF(G9&lt;$G$11,-DATEDIF(G9+DAY(1),$G$11,"Y")-1,DATEDIF($G$11,G9,"Y"))</f>
        <v>-1</v>
      </c>
      <c r="T25" s="128">
        <f>+(H9-G9)/365</f>
        <v>0.49863013698630138</v>
      </c>
      <c r="U25" s="133">
        <f>IF(H9&lt;=$G$11,-DATEDIF(H9,$G$11,"Y")-1,DATEDIF($G$11+DAY(1),H9,"Y"))</f>
        <v>0</v>
      </c>
      <c r="V25" s="128">
        <f>IF(DAY($G$11)/31+MONTH($G$11)&gt;DAY(G9)/31+MONTH(G9),DATE(YEAR(G9),MONTH($G$11),DAY($G$11))-G9,DATE(YEAR(G9)+1,MONTH($G$11),DAY($G$11))-G9)</f>
        <v>61</v>
      </c>
      <c r="W25" s="128">
        <f>H9-G9</f>
        <v>182</v>
      </c>
      <c r="X25" s="128">
        <f>IF(DAY($G$11)/31+MONTH($G$11)&gt;=DAY(H9)/31+MONTH(H9),H9-DATE(YEAR(H9)-1,MONTH($G$11),DAY($G$11)),H9-DATE(YEAR(H9),MONTH($G$11),DAY($G$11)))</f>
        <v>121</v>
      </c>
      <c r="Y25" s="133">
        <f>IF(OR(D9=$AA$23,D9=$AA$24),1,0)</f>
        <v>1</v>
      </c>
      <c r="Z25" s="134">
        <f>IF(D9=$AA$23,1,0)</f>
        <v>1</v>
      </c>
      <c r="AA25" s="214" t="s">
        <v>163</v>
      </c>
      <c r="AB25" s="100"/>
      <c r="AC25" s="102"/>
      <c r="AD25" s="100"/>
      <c r="AE25" s="100"/>
      <c r="AF25" s="100"/>
      <c r="AG25" s="100"/>
      <c r="AH25" s="100"/>
      <c r="AI25" s="100"/>
      <c r="AJ25" s="100"/>
      <c r="AK25" s="100"/>
      <c r="AL25" s="100"/>
      <c r="AM25" s="100"/>
      <c r="AN25" s="100"/>
      <c r="AO25" s="100"/>
      <c r="AP25" s="100"/>
      <c r="AQ25" s="100"/>
      <c r="AR25" s="100"/>
      <c r="AS25" s="100"/>
      <c r="AT25" s="98"/>
    </row>
    <row r="26" spans="1:46" x14ac:dyDescent="0.15">
      <c r="A26" s="219"/>
      <c r="B26" s="246"/>
      <c r="C26" s="219"/>
      <c r="D26" s="219"/>
      <c r="E26" s="219"/>
      <c r="F26" s="219"/>
      <c r="G26" s="219"/>
      <c r="H26" s="219"/>
      <c r="I26" s="219"/>
      <c r="J26" s="219"/>
      <c r="K26" s="219"/>
      <c r="L26" s="219"/>
      <c r="M26" s="219"/>
      <c r="N26" s="219"/>
      <c r="O26" s="219"/>
      <c r="P26" s="37"/>
      <c r="Q26" s="213"/>
      <c r="R26" s="368" t="s">
        <v>43</v>
      </c>
      <c r="S26" s="127">
        <f>IF(G10&lt;$G$11,-DATEDIF(G10+DAY(1),$G$11,"Y")-1,DATEDIF($G$11,G10,"Y"))</f>
        <v>0</v>
      </c>
      <c r="T26" s="128">
        <f>+(H10-G10)/365</f>
        <v>1.5013698630136987</v>
      </c>
      <c r="U26" s="133">
        <f>IF(H10&lt;=$G$11,-DATEDIF(H10,$G$11,"Y")-1,DATEDIF($G$11+DAY(1),H10,"Y"))</f>
        <v>1</v>
      </c>
      <c r="V26" s="128">
        <f>IF(DAY($G$11)/31+MONTH($G$11)&gt;DAY(G10)/31+MONTH(G10),DATE(YEAR(G10),MONTH($G$11),DAY($G$11))-G10,DATE(YEAR(G10)+1,MONTH($G$11),DAY($G$11))-G10)</f>
        <v>214</v>
      </c>
      <c r="W26" s="128">
        <f>H10-G10</f>
        <v>548</v>
      </c>
      <c r="X26" s="128">
        <f>IF(DAY($G$11)/31+MONTH($G$11)&gt;=DAY(H10)/31+MONTH(H10),H10-DATE(YEAR(H10)-1,MONTH($G$11),DAY($G$11)),H10-DATE(YEAR(H10),MONTH($G$11),DAY($G$11)))</f>
        <v>334</v>
      </c>
      <c r="Y26" s="133">
        <f>IF(OR(D10=$AA$23,D10=$AA$24),1,0)</f>
        <v>0</v>
      </c>
      <c r="Z26" s="134">
        <f>IF(D10=$AA$23,1,0)</f>
        <v>0</v>
      </c>
      <c r="AA26" s="100"/>
      <c r="AB26" s="100"/>
      <c r="AC26" s="102"/>
      <c r="AD26" s="100"/>
      <c r="AE26" s="100"/>
      <c r="AF26" s="100"/>
      <c r="AG26" s="100"/>
      <c r="AH26" s="100"/>
      <c r="AI26" s="100"/>
      <c r="AJ26" s="100"/>
      <c r="AK26" s="100"/>
      <c r="AL26" s="100"/>
      <c r="AM26" s="100"/>
      <c r="AN26" s="100"/>
      <c r="AO26" s="100"/>
      <c r="AP26" s="100"/>
      <c r="AQ26" s="100"/>
      <c r="AR26" s="100"/>
      <c r="AS26" s="100"/>
      <c r="AT26" s="98"/>
    </row>
    <row r="27" spans="1:46" ht="12.75" customHeight="1" x14ac:dyDescent="0.15">
      <c r="A27" s="219"/>
      <c r="B27" s="219"/>
      <c r="C27" s="219"/>
      <c r="D27" s="219"/>
      <c r="E27" s="219"/>
      <c r="F27" s="219"/>
      <c r="G27" s="219"/>
      <c r="H27" s="219"/>
      <c r="I27" s="219"/>
      <c r="J27" s="219"/>
      <c r="K27" s="219"/>
      <c r="L27" s="219"/>
      <c r="M27" s="219"/>
      <c r="N27" s="219"/>
      <c r="O27" s="219"/>
      <c r="P27" s="37"/>
      <c r="Q27" s="213"/>
      <c r="R27" s="368" t="s">
        <v>44</v>
      </c>
      <c r="S27" s="127">
        <f>IF(G11&lt;$G$11,-DATEDIF(G11,$G$11,"Y")-1,DATEDIF($G$11,G11,"Y"))</f>
        <v>0</v>
      </c>
      <c r="T27" s="128">
        <f>+(H11-G11)/365</f>
        <v>8.9232876712328775</v>
      </c>
      <c r="U27" s="133">
        <f>IF(H11&lt;=$G$11,-DATEDIF(H11,$G$11,"Y")-1,DATEDIF($G$11,H11,"Y"))</f>
        <v>8</v>
      </c>
      <c r="V27" s="128">
        <f>IF(DAY($G$11)/31+MONTH($G$11)&gt;DAY(G11)/31+MONTH(G11),DATE(YEAR(G11),MONTH($G$11),DAY($G$11))-G11,DATE(YEAR(G11)+1,MONTH($G$11),DAY($G$11))-G11)</f>
        <v>366</v>
      </c>
      <c r="W27" s="128">
        <f>H11-G11</f>
        <v>3257</v>
      </c>
      <c r="X27" s="128">
        <f>IF(DAY($G$11)/31+MONTH($G$11)&gt;=DAY(H11)/31+MONTH(H11),H11-DATE(YEAR(H11)-1,MONTH($G$11),DAY($G$11)),H11-DATE(YEAR(H11),MONTH($G$11),DAY($G$11)))</f>
        <v>335</v>
      </c>
      <c r="Y27" s="128"/>
      <c r="Z27" s="130"/>
      <c r="AA27" s="100"/>
      <c r="AB27" s="100"/>
      <c r="AC27" s="102"/>
      <c r="AD27" s="100"/>
      <c r="AE27" s="100"/>
      <c r="AF27" s="100"/>
      <c r="AG27" s="100"/>
      <c r="AH27" s="100"/>
      <c r="AI27" s="100"/>
      <c r="AJ27" s="100"/>
      <c r="AK27" s="100"/>
      <c r="AL27" s="100"/>
      <c r="AM27" s="100"/>
      <c r="AN27" s="100"/>
      <c r="AO27" s="100"/>
      <c r="AP27" s="100"/>
      <c r="AQ27" s="100"/>
      <c r="AR27" s="100"/>
      <c r="AS27" s="100"/>
      <c r="AT27" s="98"/>
    </row>
    <row r="28" spans="1:46" ht="16" thickBot="1" x14ac:dyDescent="0.25">
      <c r="A28" s="219"/>
      <c r="B28" s="219"/>
      <c r="C28" s="223" t="str">
        <f>I.InputData!C28</f>
        <v>Table 3. Serviceable Obtainable Market</v>
      </c>
      <c r="D28" s="219"/>
      <c r="E28" s="219"/>
      <c r="F28" s="219"/>
      <c r="G28" s="219"/>
      <c r="H28" s="219"/>
      <c r="I28" s="219"/>
      <c r="J28" s="219"/>
      <c r="K28" s="219"/>
      <c r="L28" s="219"/>
      <c r="M28" s="219"/>
      <c r="N28" s="219"/>
      <c r="O28" s="219"/>
      <c r="P28" s="37"/>
      <c r="Q28" s="213"/>
      <c r="R28" s="100"/>
      <c r="S28" s="143"/>
      <c r="T28" s="100"/>
      <c r="U28" s="100"/>
      <c r="V28" s="100"/>
      <c r="W28" s="100"/>
      <c r="X28" s="100"/>
      <c r="Y28" s="100"/>
      <c r="Z28" s="100"/>
      <c r="AA28" s="100"/>
      <c r="AB28" s="100"/>
      <c r="AC28" s="102"/>
      <c r="AD28" s="100"/>
      <c r="AE28" s="100"/>
      <c r="AF28" s="100"/>
      <c r="AG28" s="100"/>
      <c r="AH28" s="100"/>
      <c r="AI28" s="100"/>
      <c r="AJ28" s="100"/>
      <c r="AK28" s="100"/>
      <c r="AL28" s="100"/>
      <c r="AM28" s="100"/>
      <c r="AN28" s="100"/>
      <c r="AO28" s="100"/>
      <c r="AP28" s="100"/>
      <c r="AQ28" s="100"/>
      <c r="AR28" s="100"/>
      <c r="AS28" s="100"/>
      <c r="AT28" s="98"/>
    </row>
    <row r="29" spans="1:46" ht="14" customHeight="1" x14ac:dyDescent="0.15">
      <c r="A29" s="219"/>
      <c r="B29" s="535" t="str">
        <f>I.InputData!B29</f>
        <v>Sales Volume</v>
      </c>
      <c r="C29" s="574" t="str">
        <f>I.InputData!C29</f>
        <v>Number of units sold per year</v>
      </c>
      <c r="D29" s="575"/>
      <c r="E29" s="264">
        <f>I.InputData!E29</f>
        <v>45292</v>
      </c>
      <c r="F29" s="265" t="str">
        <f>I.InputData!F29</f>
        <v>Commercial Phase</v>
      </c>
      <c r="G29" s="266"/>
      <c r="H29" s="266"/>
      <c r="I29" s="266"/>
      <c r="J29" s="266"/>
      <c r="K29" s="266"/>
      <c r="L29" s="266"/>
      <c r="M29" s="266"/>
      <c r="N29" s="266"/>
      <c r="O29" s="267"/>
      <c r="P29" s="37"/>
      <c r="Q29" s="213"/>
      <c r="R29" s="100"/>
      <c r="S29" s="105" t="s">
        <v>135</v>
      </c>
      <c r="T29" s="100"/>
      <c r="U29" s="100"/>
      <c r="V29" s="100"/>
      <c r="W29" s="100"/>
      <c r="X29" s="100"/>
      <c r="Y29" s="100"/>
      <c r="Z29" s="100"/>
      <c r="AA29" s="100"/>
      <c r="AB29" s="100"/>
      <c r="AC29" s="102"/>
      <c r="AD29" s="100"/>
      <c r="AE29" s="100"/>
      <c r="AF29" s="100"/>
      <c r="AG29" s="100"/>
      <c r="AH29" s="100"/>
      <c r="AI29" s="100"/>
      <c r="AJ29" s="100"/>
      <c r="AK29" s="100"/>
      <c r="AL29" s="100"/>
      <c r="AM29" s="100"/>
      <c r="AN29" s="100"/>
      <c r="AO29" s="100"/>
      <c r="AP29" s="100"/>
      <c r="AQ29" s="100"/>
      <c r="AR29" s="100"/>
      <c r="AS29" s="100"/>
      <c r="AT29" s="98"/>
    </row>
    <row r="30" spans="1:46" ht="14" thickBot="1" x14ac:dyDescent="0.2">
      <c r="A30" s="219"/>
      <c r="B30" s="536"/>
      <c r="C30" s="576"/>
      <c r="D30" s="577"/>
      <c r="E30" s="268">
        <f>I.InputData!E30</f>
        <v>0</v>
      </c>
      <c r="F30" s="268">
        <f>I.InputData!F30</f>
        <v>1</v>
      </c>
      <c r="G30" s="268">
        <f>I.InputData!G30</f>
        <v>2</v>
      </c>
      <c r="H30" s="268">
        <f>I.InputData!H30</f>
        <v>3</v>
      </c>
      <c r="I30" s="268">
        <f>I.InputData!I30</f>
        <v>4</v>
      </c>
      <c r="J30" s="268">
        <f>I.InputData!J30</f>
        <v>5</v>
      </c>
      <c r="K30" s="268">
        <f>I.InputData!K30</f>
        <v>6</v>
      </c>
      <c r="L30" s="268">
        <f>I.InputData!L30</f>
        <v>7</v>
      </c>
      <c r="M30" s="268">
        <f>I.InputData!M30</f>
        <v>8</v>
      </c>
      <c r="N30" s="268">
        <f>I.InputData!N30</f>
        <v>9</v>
      </c>
      <c r="O30" s="269">
        <f>I.InputData!O30</f>
        <v>10</v>
      </c>
      <c r="P30" s="37"/>
      <c r="Q30" s="213"/>
      <c r="R30" s="103"/>
      <c r="S30" s="136"/>
      <c r="T30" s="558" t="s">
        <v>49</v>
      </c>
      <c r="U30" s="559"/>
      <c r="V30" s="559"/>
      <c r="W30" s="559"/>
      <c r="X30" s="559"/>
      <c r="Y30" s="559"/>
      <c r="Z30" s="559"/>
      <c r="AA30" s="559"/>
      <c r="AB30" s="559"/>
      <c r="AC30" s="560"/>
      <c r="AD30" s="137">
        <f>+I.InputData!G11</f>
        <v>45292</v>
      </c>
      <c r="AE30" s="557" t="s">
        <v>33</v>
      </c>
      <c r="AF30" s="557"/>
      <c r="AG30" s="557"/>
      <c r="AH30" s="557"/>
      <c r="AI30" s="557"/>
      <c r="AJ30" s="557"/>
      <c r="AK30" s="557"/>
      <c r="AL30" s="557"/>
      <c r="AM30" s="557"/>
      <c r="AN30" s="557"/>
      <c r="AO30" s="100"/>
      <c r="AP30" s="100"/>
      <c r="AQ30" s="100"/>
      <c r="AR30" s="100"/>
      <c r="AS30" s="100"/>
      <c r="AT30" s="98"/>
    </row>
    <row r="31" spans="1:46" x14ac:dyDescent="0.15">
      <c r="A31" s="219"/>
      <c r="B31" s="536"/>
      <c r="C31" s="568" t="str">
        <f>I.InputData!C31</f>
        <v>Customer Segment 1 (CS1)</v>
      </c>
      <c r="D31" s="569"/>
      <c r="E31" s="270">
        <f>I.InputData!E31</f>
        <v>10</v>
      </c>
      <c r="F31" s="270">
        <f>I.InputData!F31</f>
        <v>50</v>
      </c>
      <c r="G31" s="270">
        <f>I.InputData!G31</f>
        <v>100</v>
      </c>
      <c r="H31" s="270">
        <f>I.InputData!H31</f>
        <v>110</v>
      </c>
      <c r="I31" s="270">
        <f>I.InputData!I31</f>
        <v>115</v>
      </c>
      <c r="J31" s="270">
        <f>I.InputData!J31</f>
        <v>130</v>
      </c>
      <c r="K31" s="270">
        <f>I.InputData!K31</f>
        <v>150</v>
      </c>
      <c r="L31" s="270">
        <f>I.InputData!L31</f>
        <v>135</v>
      </c>
      <c r="M31" s="270">
        <f>I.InputData!M31</f>
        <v>130</v>
      </c>
      <c r="N31" s="270">
        <f>I.InputData!N31</f>
        <v>120</v>
      </c>
      <c r="O31" s="271">
        <f>I.InputData!O31</f>
        <v>110</v>
      </c>
      <c r="P31" s="37"/>
      <c r="Q31" s="213"/>
      <c r="R31" s="369" t="s">
        <v>132</v>
      </c>
      <c r="S31" s="138" t="s">
        <v>48</v>
      </c>
      <c r="T31" s="138">
        <v>-10</v>
      </c>
      <c r="U31" s="138">
        <v>-9</v>
      </c>
      <c r="V31" s="138">
        <v>-8</v>
      </c>
      <c r="W31" s="138">
        <v>-7</v>
      </c>
      <c r="X31" s="138">
        <v>-6</v>
      </c>
      <c r="Y31" s="138">
        <v>-5</v>
      </c>
      <c r="Z31" s="138">
        <v>-4</v>
      </c>
      <c r="AA31" s="138">
        <v>-3</v>
      </c>
      <c r="AB31" s="138">
        <v>-2</v>
      </c>
      <c r="AC31" s="139">
        <v>-1</v>
      </c>
      <c r="AD31" s="140">
        <v>0</v>
      </c>
      <c r="AE31" s="138">
        <v>1</v>
      </c>
      <c r="AF31" s="138">
        <v>2</v>
      </c>
      <c r="AG31" s="138">
        <v>3</v>
      </c>
      <c r="AH31" s="138">
        <v>4</v>
      </c>
      <c r="AI31" s="138">
        <v>5</v>
      </c>
      <c r="AJ31" s="138">
        <v>6</v>
      </c>
      <c r="AK31" s="138">
        <v>7</v>
      </c>
      <c r="AL31" s="138">
        <v>8</v>
      </c>
      <c r="AM31" s="138">
        <v>9</v>
      </c>
      <c r="AN31" s="138">
        <v>10</v>
      </c>
      <c r="AO31" s="100"/>
      <c r="AP31" s="100"/>
      <c r="AQ31" s="100"/>
      <c r="AR31" s="100"/>
      <c r="AS31" s="100"/>
      <c r="AT31" s="98"/>
    </row>
    <row r="32" spans="1:46" x14ac:dyDescent="0.15">
      <c r="A32" s="219"/>
      <c r="B32" s="536"/>
      <c r="C32" s="568" t="str">
        <f>I.InputData!C32</f>
        <v>Customer Segment 2 (CS2)</v>
      </c>
      <c r="D32" s="569"/>
      <c r="E32" s="272">
        <f>I.InputData!E32</f>
        <v>0</v>
      </c>
      <c r="F32" s="272">
        <f>I.InputData!F32</f>
        <v>0</v>
      </c>
      <c r="G32" s="272">
        <f>I.InputData!G32</f>
        <v>0</v>
      </c>
      <c r="H32" s="272">
        <f>I.InputData!H32</f>
        <v>0</v>
      </c>
      <c r="I32" s="272">
        <f>I.InputData!I32</f>
        <v>0</v>
      </c>
      <c r="J32" s="272">
        <f>I.InputData!J32</f>
        <v>0</v>
      </c>
      <c r="K32" s="272">
        <f>I.InputData!K32</f>
        <v>0</v>
      </c>
      <c r="L32" s="272">
        <f>I.InputData!L32</f>
        <v>0</v>
      </c>
      <c r="M32" s="272">
        <f>I.InputData!M32</f>
        <v>0</v>
      </c>
      <c r="N32" s="272">
        <f>I.InputData!N32</f>
        <v>0</v>
      </c>
      <c r="O32" s="273">
        <f>I.InputData!O32</f>
        <v>0</v>
      </c>
      <c r="P32" s="37"/>
      <c r="Q32" s="213"/>
      <c r="R32" s="369" t="str">
        <f>IF(OR(ROUND(SUM(T32:AN32),0)=E7,ROUND(SUM(T32:AN32),0)=E7+1,ROUND(SUM(T32:AN32),0)=E7-1,Y23&lt;&gt;1),"OK","NOK, to check")</f>
        <v>OK</v>
      </c>
      <c r="S32" s="141" t="s">
        <v>41</v>
      </c>
      <c r="T32" s="158">
        <f>$Y23*IF(OR(T$31&lt;$S23,T$31&gt;$U23),0,IF(T$31=$S23,(IF($S23=$U23,$E7,$E7*$V23/$W23)),IF(T$31=$U23,($E7*$X23/$W23),($E7*365.25/$W23))))</f>
        <v>0</v>
      </c>
      <c r="U32" s="148">
        <f t="shared" ref="U32:AN32" si="18">$Y23*IF(OR(U$31&lt;$S23,U$31&gt;$U23),0,IF(U$31=$S23,(IF($S23=$U23,$E7,$E7*$V23/$W23)),IF(U$31=$U23,($E7*$X23/$W23),($E7*365.25/$W23))))</f>
        <v>0</v>
      </c>
      <c r="V32" s="148">
        <f t="shared" si="18"/>
        <v>0</v>
      </c>
      <c r="W32" s="148">
        <f t="shared" si="18"/>
        <v>0</v>
      </c>
      <c r="X32" s="148">
        <f t="shared" si="18"/>
        <v>0</v>
      </c>
      <c r="Y32" s="148">
        <f t="shared" si="18"/>
        <v>0</v>
      </c>
      <c r="Z32" s="148">
        <f t="shared" si="18"/>
        <v>0</v>
      </c>
      <c r="AA32" s="148">
        <f>$Y23*IF(OR(AA$31&lt;$S23,AA$31&gt;$U23),0,IF(AA$31=$S23,(IF($S23=$U23,$E7,$E7*$V23/$W23)),IF(AA$31=$U23,($E7*$X23/$W23),($E7*365.25/$W23))))</f>
        <v>0</v>
      </c>
      <c r="AB32" s="148">
        <f t="shared" si="18"/>
        <v>500000</v>
      </c>
      <c r="AC32" s="148">
        <f t="shared" si="18"/>
        <v>0</v>
      </c>
      <c r="AD32" s="352">
        <f t="shared" si="18"/>
        <v>0</v>
      </c>
      <c r="AE32" s="148">
        <f t="shared" si="18"/>
        <v>0</v>
      </c>
      <c r="AF32" s="148">
        <f t="shared" si="18"/>
        <v>0</v>
      </c>
      <c r="AG32" s="148">
        <f t="shared" si="18"/>
        <v>0</v>
      </c>
      <c r="AH32" s="148">
        <f t="shared" si="18"/>
        <v>0</v>
      </c>
      <c r="AI32" s="148">
        <f t="shared" si="18"/>
        <v>0</v>
      </c>
      <c r="AJ32" s="148">
        <f t="shared" si="18"/>
        <v>0</v>
      </c>
      <c r="AK32" s="148">
        <f t="shared" si="18"/>
        <v>0</v>
      </c>
      <c r="AL32" s="148">
        <f t="shared" si="18"/>
        <v>0</v>
      </c>
      <c r="AM32" s="148">
        <f t="shared" si="18"/>
        <v>0</v>
      </c>
      <c r="AN32" s="148">
        <f t="shared" si="18"/>
        <v>0</v>
      </c>
      <c r="AO32" s="100"/>
      <c r="AP32" s="100"/>
      <c r="AQ32" s="100"/>
      <c r="AR32" s="100"/>
      <c r="AS32" s="100"/>
      <c r="AT32" s="98"/>
    </row>
    <row r="33" spans="1:46" x14ac:dyDescent="0.15">
      <c r="A33" s="219"/>
      <c r="B33" s="536"/>
      <c r="C33" s="568" t="str">
        <f>I.InputData!C33</f>
        <v>Customer Segment 3 (CS3)</v>
      </c>
      <c r="D33" s="569"/>
      <c r="E33" s="272">
        <f>I.InputData!E33</f>
        <v>0</v>
      </c>
      <c r="F33" s="272">
        <f>I.InputData!F33</f>
        <v>0</v>
      </c>
      <c r="G33" s="272">
        <f>I.InputData!G33</f>
        <v>0</v>
      </c>
      <c r="H33" s="272">
        <f>I.InputData!H33</f>
        <v>0</v>
      </c>
      <c r="I33" s="272">
        <f>I.InputData!I33</f>
        <v>0</v>
      </c>
      <c r="J33" s="272">
        <f>I.InputData!J33</f>
        <v>0</v>
      </c>
      <c r="K33" s="272">
        <f>I.InputData!K33</f>
        <v>0</v>
      </c>
      <c r="L33" s="272">
        <f>I.InputData!L33</f>
        <v>0</v>
      </c>
      <c r="M33" s="272">
        <f>I.InputData!M33</f>
        <v>0</v>
      </c>
      <c r="N33" s="272">
        <f>I.InputData!N33</f>
        <v>0</v>
      </c>
      <c r="O33" s="273">
        <f>I.InputData!O33</f>
        <v>0</v>
      </c>
      <c r="P33" s="37"/>
      <c r="Q33" s="213"/>
      <c r="R33" s="369" t="str">
        <f>IF(OR(ROUND(SUM(T33:AN33),0)=E8,ROUND(SUM(T33:AN33),0)=E8+1,ROUND(SUM(T33:AN33),0)=E8-1,Y24&lt;&gt;1),"OK","NOK, to check")</f>
        <v>OK</v>
      </c>
      <c r="S33" s="142" t="s">
        <v>42</v>
      </c>
      <c r="T33" s="161">
        <f t="shared" ref="T33:AN33" si="19">$Y24*IF(OR(T$31&lt;$S24,T$31&gt;$U24),0,IF(T$31=$S24,(IF($S24=$U24,$E8,$E8*$V24/$W24)),IF(T$31=$U24,($E8*$X24/$W24),($E8*365.25/$W24))))</f>
        <v>0</v>
      </c>
      <c r="U33" s="150">
        <f t="shared" si="19"/>
        <v>0</v>
      </c>
      <c r="V33" s="150">
        <f t="shared" si="19"/>
        <v>0</v>
      </c>
      <c r="W33" s="150">
        <f t="shared" si="19"/>
        <v>0</v>
      </c>
      <c r="X33" s="150">
        <f t="shared" si="19"/>
        <v>0</v>
      </c>
      <c r="Y33" s="150">
        <f t="shared" si="19"/>
        <v>0</v>
      </c>
      <c r="Z33" s="150">
        <f t="shared" si="19"/>
        <v>0</v>
      </c>
      <c r="AA33" s="150">
        <f>$Y24*IF(OR(AA$31&lt;$S24,AA$31&gt;$U24),0,IF(AA$31=$S24,(IF($S24=$U24,$E8,$E8*$V24/$W24)),IF(AA$31=$U24,($E8*$X24/$W24),($E8*365.25/$W24))))</f>
        <v>0</v>
      </c>
      <c r="AB33" s="150">
        <f t="shared" si="19"/>
        <v>0</v>
      </c>
      <c r="AC33" s="150">
        <f t="shared" si="19"/>
        <v>1000000</v>
      </c>
      <c r="AD33" s="353">
        <f t="shared" si="19"/>
        <v>0</v>
      </c>
      <c r="AE33" s="150">
        <f t="shared" si="19"/>
        <v>0</v>
      </c>
      <c r="AF33" s="150">
        <f t="shared" si="19"/>
        <v>0</v>
      </c>
      <c r="AG33" s="150">
        <f t="shared" si="19"/>
        <v>0</v>
      </c>
      <c r="AH33" s="150">
        <f t="shared" si="19"/>
        <v>0</v>
      </c>
      <c r="AI33" s="150">
        <f t="shared" si="19"/>
        <v>0</v>
      </c>
      <c r="AJ33" s="150">
        <f t="shared" si="19"/>
        <v>0</v>
      </c>
      <c r="AK33" s="150">
        <f t="shared" si="19"/>
        <v>0</v>
      </c>
      <c r="AL33" s="150">
        <f t="shared" si="19"/>
        <v>0</v>
      </c>
      <c r="AM33" s="150">
        <f t="shared" si="19"/>
        <v>0</v>
      </c>
      <c r="AN33" s="150">
        <f t="shared" si="19"/>
        <v>0</v>
      </c>
      <c r="AO33" s="100"/>
      <c r="AP33" s="100"/>
      <c r="AQ33" s="100"/>
      <c r="AR33" s="100"/>
      <c r="AS33" s="100"/>
      <c r="AT33" s="98"/>
    </row>
    <row r="34" spans="1:46" x14ac:dyDescent="0.15">
      <c r="A34" s="219"/>
      <c r="B34" s="536"/>
      <c r="C34" s="568" t="str">
        <f>I.InputData!C34</f>
        <v>Customer Segment 4 (CS4)</v>
      </c>
      <c r="D34" s="569"/>
      <c r="E34" s="272">
        <f>I.InputData!E34</f>
        <v>0</v>
      </c>
      <c r="F34" s="272">
        <f>I.InputData!F34</f>
        <v>0</v>
      </c>
      <c r="G34" s="272">
        <f>I.InputData!G34</f>
        <v>0</v>
      </c>
      <c r="H34" s="272">
        <f>I.InputData!H34</f>
        <v>0</v>
      </c>
      <c r="I34" s="272">
        <f>I.InputData!I34</f>
        <v>0</v>
      </c>
      <c r="J34" s="272">
        <f>I.InputData!J34</f>
        <v>0</v>
      </c>
      <c r="K34" s="272">
        <f>I.InputData!K34</f>
        <v>0</v>
      </c>
      <c r="L34" s="272">
        <f>I.InputData!L34</f>
        <v>0</v>
      </c>
      <c r="M34" s="272">
        <f>I.InputData!M34</f>
        <v>0</v>
      </c>
      <c r="N34" s="272">
        <f>I.InputData!N34</f>
        <v>0</v>
      </c>
      <c r="O34" s="273">
        <f>I.InputData!O34</f>
        <v>0</v>
      </c>
      <c r="P34" s="37"/>
      <c r="Q34" s="213"/>
      <c r="R34" s="369" t="str">
        <f>IF(OR(ROUND(SUM(T34:AN34),0)=E9,ROUND(SUM(T34:AN34),0)=E9+1,ROUND(SUM(T34:AN34),0)=E9-1,Y25&lt;&gt;1),"OK","NOK, to check")</f>
        <v>OK</v>
      </c>
      <c r="S34" s="142" t="s">
        <v>23</v>
      </c>
      <c r="T34" s="161">
        <f t="shared" ref="T34:AN34" si="20">$Y25*IF(OR(T$31&lt;$S25,T$31&gt;$U25),0,IF(T$31=$S25,(IF($S25=$U25,$E9,$E9*$V25/$W25)),IF(T$31=$U25,($E9*$X25/$W25),($E9*365.25/$W25))))</f>
        <v>0</v>
      </c>
      <c r="U34" s="150">
        <f t="shared" si="20"/>
        <v>0</v>
      </c>
      <c r="V34" s="150">
        <f t="shared" si="20"/>
        <v>0</v>
      </c>
      <c r="W34" s="150">
        <f t="shared" si="20"/>
        <v>0</v>
      </c>
      <c r="X34" s="150">
        <f t="shared" si="20"/>
        <v>0</v>
      </c>
      <c r="Y34" s="150">
        <f t="shared" si="20"/>
        <v>0</v>
      </c>
      <c r="Z34" s="150">
        <f t="shared" si="20"/>
        <v>0</v>
      </c>
      <c r="AA34" s="150">
        <f t="shared" si="20"/>
        <v>0</v>
      </c>
      <c r="AB34" s="150">
        <f t="shared" si="20"/>
        <v>0</v>
      </c>
      <c r="AC34" s="150">
        <f t="shared" si="20"/>
        <v>268131.86813186813</v>
      </c>
      <c r="AD34" s="353">
        <f t="shared" si="20"/>
        <v>531868.13186813192</v>
      </c>
      <c r="AE34" s="150">
        <f t="shared" si="20"/>
        <v>0</v>
      </c>
      <c r="AF34" s="150">
        <f t="shared" si="20"/>
        <v>0</v>
      </c>
      <c r="AG34" s="150">
        <f t="shared" si="20"/>
        <v>0</v>
      </c>
      <c r="AH34" s="150">
        <f t="shared" si="20"/>
        <v>0</v>
      </c>
      <c r="AI34" s="150">
        <f t="shared" si="20"/>
        <v>0</v>
      </c>
      <c r="AJ34" s="150">
        <f t="shared" si="20"/>
        <v>0</v>
      </c>
      <c r="AK34" s="150">
        <f t="shared" si="20"/>
        <v>0</v>
      </c>
      <c r="AL34" s="150">
        <f t="shared" si="20"/>
        <v>0</v>
      </c>
      <c r="AM34" s="150">
        <f t="shared" si="20"/>
        <v>0</v>
      </c>
      <c r="AN34" s="150">
        <f t="shared" si="20"/>
        <v>0</v>
      </c>
      <c r="AO34" s="100"/>
      <c r="AP34" s="100"/>
      <c r="AQ34" s="100"/>
      <c r="AR34" s="100"/>
      <c r="AS34" s="100"/>
      <c r="AT34" s="98"/>
    </row>
    <row r="35" spans="1:46" x14ac:dyDescent="0.15">
      <c r="A35" s="219"/>
      <c r="B35" s="536"/>
      <c r="C35" s="568" t="str">
        <f>I.InputData!C35</f>
        <v>Customer Segment 5 (CS5)</v>
      </c>
      <c r="D35" s="569"/>
      <c r="E35" s="272">
        <f>I.InputData!E35</f>
        <v>0</v>
      </c>
      <c r="F35" s="272">
        <f>I.InputData!F35</f>
        <v>0</v>
      </c>
      <c r="G35" s="272">
        <f>I.InputData!G35</f>
        <v>0</v>
      </c>
      <c r="H35" s="272">
        <f>I.InputData!H35</f>
        <v>0</v>
      </c>
      <c r="I35" s="272">
        <f>I.InputData!I35</f>
        <v>0</v>
      </c>
      <c r="J35" s="272">
        <f>I.InputData!J35</f>
        <v>0</v>
      </c>
      <c r="K35" s="272">
        <f>I.InputData!K35</f>
        <v>0</v>
      </c>
      <c r="L35" s="272">
        <f>I.InputData!L35</f>
        <v>0</v>
      </c>
      <c r="M35" s="272">
        <f>I.InputData!M35</f>
        <v>0</v>
      </c>
      <c r="N35" s="272">
        <f>I.InputData!N35</f>
        <v>0</v>
      </c>
      <c r="O35" s="273">
        <f>I.InputData!O35</f>
        <v>0</v>
      </c>
      <c r="P35" s="37"/>
      <c r="Q35" s="213"/>
      <c r="R35" s="369" t="str">
        <f>IF(OR(ROUND(SUM(T35:AN35),0)=E10,ROUND(SUM(T35:AN35),0)=E10+1,ROUND(SUM(T35:AN35),0)=E10-1,Y26&lt;&gt;1),"OK","NOK, to check")</f>
        <v>OK</v>
      </c>
      <c r="S35" s="142" t="s">
        <v>43</v>
      </c>
      <c r="T35" s="164">
        <f t="shared" ref="T35:AN35" si="21">$Y26*IF(OR(T$31&lt;$S26,T$31&gt;$U26),0,IF(T$31=$S26,(IF($S26=$U26,$E10,$E10*$V26/$W26)),IF(T$31=$U26,($E10*$X26/$W26),($E10*365.25/$W26))))</f>
        <v>0</v>
      </c>
      <c r="U35" s="152">
        <f t="shared" si="21"/>
        <v>0</v>
      </c>
      <c r="V35" s="152">
        <f t="shared" si="21"/>
        <v>0</v>
      </c>
      <c r="W35" s="152">
        <f t="shared" si="21"/>
        <v>0</v>
      </c>
      <c r="X35" s="152">
        <f t="shared" si="21"/>
        <v>0</v>
      </c>
      <c r="Y35" s="152">
        <f t="shared" si="21"/>
        <v>0</v>
      </c>
      <c r="Z35" s="152">
        <f t="shared" si="21"/>
        <v>0</v>
      </c>
      <c r="AA35" s="152">
        <f t="shared" si="21"/>
        <v>0</v>
      </c>
      <c r="AB35" s="152">
        <f t="shared" si="21"/>
        <v>0</v>
      </c>
      <c r="AC35" s="152">
        <f t="shared" si="21"/>
        <v>0</v>
      </c>
      <c r="AD35" s="354">
        <f t="shared" si="21"/>
        <v>0</v>
      </c>
      <c r="AE35" s="152">
        <f t="shared" si="21"/>
        <v>0</v>
      </c>
      <c r="AF35" s="152">
        <f t="shared" si="21"/>
        <v>0</v>
      </c>
      <c r="AG35" s="152">
        <f t="shared" si="21"/>
        <v>0</v>
      </c>
      <c r="AH35" s="152">
        <f t="shared" si="21"/>
        <v>0</v>
      </c>
      <c r="AI35" s="152">
        <f t="shared" si="21"/>
        <v>0</v>
      </c>
      <c r="AJ35" s="152">
        <f t="shared" si="21"/>
        <v>0</v>
      </c>
      <c r="AK35" s="152">
        <f t="shared" si="21"/>
        <v>0</v>
      </c>
      <c r="AL35" s="152">
        <f t="shared" si="21"/>
        <v>0</v>
      </c>
      <c r="AM35" s="152">
        <f t="shared" si="21"/>
        <v>0</v>
      </c>
      <c r="AN35" s="152">
        <f t="shared" si="21"/>
        <v>0</v>
      </c>
      <c r="AO35" s="100"/>
      <c r="AP35" s="100"/>
      <c r="AQ35" s="100"/>
      <c r="AR35" s="100"/>
      <c r="AS35" s="100"/>
      <c r="AT35" s="98"/>
    </row>
    <row r="36" spans="1:46" x14ac:dyDescent="0.15">
      <c r="A36" s="219"/>
      <c r="B36" s="536"/>
      <c r="C36" s="568" t="str">
        <f>I.InputData!C36</f>
        <v>Customer Segment 6 (CS6)</v>
      </c>
      <c r="D36" s="569"/>
      <c r="E36" s="272">
        <f>I.InputData!E36</f>
        <v>0</v>
      </c>
      <c r="F36" s="272">
        <f>I.InputData!F36</f>
        <v>0</v>
      </c>
      <c r="G36" s="272">
        <f>I.InputData!G36</f>
        <v>0</v>
      </c>
      <c r="H36" s="272">
        <f>I.InputData!H36</f>
        <v>0</v>
      </c>
      <c r="I36" s="272">
        <f>I.InputData!I36</f>
        <v>0</v>
      </c>
      <c r="J36" s="272">
        <f>I.InputData!J36</f>
        <v>0</v>
      </c>
      <c r="K36" s="272">
        <f>I.InputData!K36</f>
        <v>0</v>
      </c>
      <c r="L36" s="272">
        <f>I.InputData!L36</f>
        <v>0</v>
      </c>
      <c r="M36" s="272">
        <f>I.InputData!M36</f>
        <v>0</v>
      </c>
      <c r="N36" s="272">
        <f>I.InputData!N36</f>
        <v>0</v>
      </c>
      <c r="O36" s="273">
        <f>I.InputData!O36</f>
        <v>0</v>
      </c>
      <c r="P36" s="37"/>
      <c r="Q36" s="213"/>
      <c r="R36" s="100"/>
      <c r="S36" s="100"/>
      <c r="T36" s="100"/>
      <c r="U36" s="100"/>
      <c r="V36" s="100"/>
      <c r="W36" s="100"/>
      <c r="X36" s="100"/>
      <c r="Y36" s="100"/>
      <c r="Z36" s="100"/>
      <c r="AA36" s="100"/>
      <c r="AB36" s="100"/>
      <c r="AC36" s="102"/>
      <c r="AD36" s="100"/>
      <c r="AE36" s="100"/>
      <c r="AF36" s="100"/>
      <c r="AG36" s="100"/>
      <c r="AH36" s="100"/>
      <c r="AI36" s="100"/>
      <c r="AJ36" s="100"/>
      <c r="AK36" s="100"/>
      <c r="AL36" s="100"/>
      <c r="AM36" s="100"/>
      <c r="AN36" s="100"/>
      <c r="AO36" s="100"/>
      <c r="AP36" s="100"/>
      <c r="AQ36" s="100"/>
      <c r="AR36" s="100"/>
      <c r="AS36" s="100"/>
      <c r="AT36" s="98"/>
    </row>
    <row r="37" spans="1:46" ht="12.75" customHeight="1" thickBot="1" x14ac:dyDescent="0.2">
      <c r="A37" s="219"/>
      <c r="B37" s="537"/>
      <c r="C37" s="578" t="str">
        <f>I.InputData!C37</f>
        <v>Customer Segment 7 (CS7)</v>
      </c>
      <c r="D37" s="579"/>
      <c r="E37" s="274">
        <f>I.InputData!E37</f>
        <v>0</v>
      </c>
      <c r="F37" s="274">
        <f>I.InputData!F37</f>
        <v>0</v>
      </c>
      <c r="G37" s="274">
        <f>I.InputData!G37</f>
        <v>0</v>
      </c>
      <c r="H37" s="274">
        <f>I.InputData!H37</f>
        <v>0</v>
      </c>
      <c r="I37" s="274">
        <f>I.InputData!I37</f>
        <v>0</v>
      </c>
      <c r="J37" s="274">
        <f>I.InputData!J37</f>
        <v>0</v>
      </c>
      <c r="K37" s="274">
        <f>I.InputData!K37</f>
        <v>0</v>
      </c>
      <c r="L37" s="274">
        <f>I.InputData!L37</f>
        <v>0</v>
      </c>
      <c r="M37" s="274">
        <f>I.InputData!M37</f>
        <v>0</v>
      </c>
      <c r="N37" s="274">
        <f>I.InputData!N37</f>
        <v>0</v>
      </c>
      <c r="O37" s="275">
        <f>I.InputData!O37</f>
        <v>0</v>
      </c>
      <c r="P37" s="37"/>
      <c r="Q37" s="213"/>
      <c r="R37" s="100"/>
      <c r="S37" s="100"/>
      <c r="T37" s="100"/>
      <c r="U37" s="100"/>
      <c r="V37" s="100"/>
      <c r="W37" s="100"/>
      <c r="X37" s="100"/>
      <c r="Y37" s="100"/>
      <c r="Z37" s="100"/>
      <c r="AA37" s="100"/>
      <c r="AB37" s="105" t="s">
        <v>136</v>
      </c>
      <c r="AC37" s="102"/>
      <c r="AD37" s="100"/>
      <c r="AE37" s="100"/>
      <c r="AF37" s="100"/>
      <c r="AG37" s="100"/>
      <c r="AH37" s="100"/>
      <c r="AI37" s="100"/>
      <c r="AJ37" s="100"/>
      <c r="AK37" s="100"/>
      <c r="AL37" s="100"/>
      <c r="AM37" s="100"/>
      <c r="AN37" s="100"/>
      <c r="AO37" s="100"/>
      <c r="AP37" s="100"/>
      <c r="AQ37" s="100"/>
      <c r="AR37" s="100"/>
      <c r="AS37" s="100"/>
      <c r="AT37" s="98"/>
    </row>
    <row r="38" spans="1:46" x14ac:dyDescent="0.15">
      <c r="A38" s="219"/>
      <c r="B38" s="37"/>
      <c r="C38" s="37"/>
      <c r="D38" s="37"/>
      <c r="E38" s="37"/>
      <c r="F38" s="37"/>
      <c r="G38" s="37"/>
      <c r="H38" s="37"/>
      <c r="I38" s="37"/>
      <c r="J38" s="37"/>
      <c r="K38" s="37"/>
      <c r="L38" s="37"/>
      <c r="M38" s="37"/>
      <c r="N38" s="37"/>
      <c r="O38" s="37"/>
      <c r="P38" s="37"/>
      <c r="Q38" s="213"/>
      <c r="R38" s="214"/>
      <c r="S38" s="143"/>
      <c r="T38" s="370"/>
      <c r="U38" s="370"/>
      <c r="V38" s="143"/>
      <c r="W38" s="143"/>
      <c r="X38" s="100"/>
      <c r="Y38" s="100"/>
      <c r="Z38" s="100"/>
      <c r="AA38" s="100"/>
      <c r="AB38" s="564"/>
      <c r="AC38" s="565"/>
      <c r="AD38" s="144">
        <f>+I.InputData!G11</f>
        <v>45292</v>
      </c>
      <c r="AE38" s="557" t="s">
        <v>33</v>
      </c>
      <c r="AF38" s="557"/>
      <c r="AG38" s="557"/>
      <c r="AH38" s="557"/>
      <c r="AI38" s="557"/>
      <c r="AJ38" s="557"/>
      <c r="AK38" s="557"/>
      <c r="AL38" s="557"/>
      <c r="AM38" s="557"/>
      <c r="AN38" s="563"/>
      <c r="AO38" s="100"/>
      <c r="AP38" s="100"/>
      <c r="AQ38" s="100"/>
      <c r="AR38" s="100"/>
      <c r="AS38" s="100"/>
      <c r="AT38" s="98"/>
    </row>
    <row r="39" spans="1:46" x14ac:dyDescent="0.15">
      <c r="A39" s="219"/>
      <c r="B39" s="37"/>
      <c r="C39" s="37"/>
      <c r="D39" s="37"/>
      <c r="E39" s="37"/>
      <c r="F39" s="37"/>
      <c r="G39" s="37"/>
      <c r="H39" s="37"/>
      <c r="I39" s="37"/>
      <c r="J39" s="37"/>
      <c r="K39" s="37"/>
      <c r="L39" s="37"/>
      <c r="M39" s="37"/>
      <c r="N39" s="37"/>
      <c r="O39" s="37"/>
      <c r="P39" s="37"/>
      <c r="Q39" s="213"/>
      <c r="R39" s="214"/>
      <c r="S39" s="143"/>
      <c r="T39" s="370"/>
      <c r="U39" s="370"/>
      <c r="V39" s="143"/>
      <c r="W39" s="143"/>
      <c r="X39" s="145"/>
      <c r="Y39" s="145"/>
      <c r="Z39" s="143"/>
      <c r="AA39" s="143"/>
      <c r="AB39" s="566"/>
      <c r="AC39" s="567"/>
      <c r="AD39" s="146">
        <v>0</v>
      </c>
      <c r="AE39" s="147">
        <v>1</v>
      </c>
      <c r="AF39" s="147">
        <v>2</v>
      </c>
      <c r="AG39" s="147">
        <v>3</v>
      </c>
      <c r="AH39" s="147">
        <v>4</v>
      </c>
      <c r="AI39" s="147">
        <v>5</v>
      </c>
      <c r="AJ39" s="147">
        <v>6</v>
      </c>
      <c r="AK39" s="147">
        <v>7</v>
      </c>
      <c r="AL39" s="147">
        <v>8</v>
      </c>
      <c r="AM39" s="147">
        <v>9</v>
      </c>
      <c r="AN39" s="147">
        <v>10</v>
      </c>
      <c r="AO39" s="100"/>
      <c r="AP39" s="100"/>
      <c r="AQ39" s="100"/>
      <c r="AR39" s="100"/>
      <c r="AS39" s="100"/>
      <c r="AT39" s="98"/>
    </row>
    <row r="40" spans="1:46" ht="16" customHeight="1" thickBot="1" x14ac:dyDescent="0.25">
      <c r="A40" s="219"/>
      <c r="B40" s="219"/>
      <c r="C40" s="223" t="str">
        <f>I.InputData!C40</f>
        <v>Table 4. Operational Expenditures</v>
      </c>
      <c r="D40" s="219"/>
      <c r="E40" s="219"/>
      <c r="F40" s="219"/>
      <c r="G40" s="219"/>
      <c r="H40" s="219"/>
      <c r="I40" s="219"/>
      <c r="J40" s="219"/>
      <c r="K40" s="219"/>
      <c r="L40" s="219"/>
      <c r="M40" s="219"/>
      <c r="N40" s="219"/>
      <c r="O40" s="219"/>
      <c r="P40" s="37"/>
      <c r="Q40" s="213"/>
      <c r="R40" s="214"/>
      <c r="S40" s="143"/>
      <c r="T40" s="143"/>
      <c r="U40" s="143"/>
      <c r="V40" s="143"/>
      <c r="W40" s="143"/>
      <c r="X40" s="145"/>
      <c r="Y40" s="145"/>
      <c r="Z40" s="143"/>
      <c r="AA40" s="143"/>
      <c r="AB40" s="549" t="s">
        <v>70</v>
      </c>
      <c r="AC40" s="440" t="s">
        <v>122</v>
      </c>
      <c r="AD40" s="148">
        <f t="shared" ref="AD40:AD46" si="22">+E31</f>
        <v>10</v>
      </c>
      <c r="AE40" s="148">
        <f t="shared" ref="AE40:AN44" si="23">(AD40*(1-$F$25)+F31)</f>
        <v>59</v>
      </c>
      <c r="AF40" s="148">
        <f t="shared" si="23"/>
        <v>153.1</v>
      </c>
      <c r="AG40" s="148">
        <f t="shared" si="23"/>
        <v>247.79</v>
      </c>
      <c r="AH40" s="148">
        <f t="shared" si="23"/>
        <v>338.01099999999997</v>
      </c>
      <c r="AI40" s="148">
        <f t="shared" si="23"/>
        <v>434.2099</v>
      </c>
      <c r="AJ40" s="148">
        <f t="shared" si="23"/>
        <v>540.78890999999999</v>
      </c>
      <c r="AK40" s="148">
        <f t="shared" si="23"/>
        <v>621.71001899999999</v>
      </c>
      <c r="AL40" s="148">
        <f t="shared" si="23"/>
        <v>689.53901710000002</v>
      </c>
      <c r="AM40" s="148">
        <f t="shared" si="23"/>
        <v>740.58511539000006</v>
      </c>
      <c r="AN40" s="149">
        <f t="shared" si="23"/>
        <v>776.52660385100012</v>
      </c>
      <c r="AO40" s="100"/>
      <c r="AP40" s="100"/>
      <c r="AQ40" s="100"/>
      <c r="AR40" s="100"/>
      <c r="AS40" s="100"/>
      <c r="AT40" s="98"/>
    </row>
    <row r="41" spans="1:46" x14ac:dyDescent="0.15">
      <c r="A41" s="219"/>
      <c r="B41" s="580" t="str">
        <f>I.InputData!B41</f>
        <v>OPEX</v>
      </c>
      <c r="C41" s="511" t="str">
        <f>I.InputData!C41</f>
        <v>Estimated OPEX</v>
      </c>
      <c r="D41" s="512"/>
      <c r="E41" s="264">
        <f>I.InputData!E41</f>
        <v>45292</v>
      </c>
      <c r="F41" s="265" t="str">
        <f>I.InputData!F41</f>
        <v>Commercial Phase</v>
      </c>
      <c r="G41" s="266"/>
      <c r="H41" s="266"/>
      <c r="I41" s="266"/>
      <c r="J41" s="266"/>
      <c r="K41" s="266"/>
      <c r="L41" s="266"/>
      <c r="M41" s="266"/>
      <c r="N41" s="266"/>
      <c r="O41" s="267"/>
      <c r="P41" s="37"/>
      <c r="Q41" s="213"/>
      <c r="R41" s="214"/>
      <c r="S41" s="143"/>
      <c r="T41" s="143"/>
      <c r="U41" s="143"/>
      <c r="V41" s="143"/>
      <c r="W41" s="143"/>
      <c r="X41" s="145"/>
      <c r="Y41" s="145"/>
      <c r="Z41" s="143"/>
      <c r="AA41" s="143"/>
      <c r="AB41" s="550"/>
      <c r="AC41" s="441" t="s">
        <v>123</v>
      </c>
      <c r="AD41" s="150">
        <f t="shared" si="22"/>
        <v>0</v>
      </c>
      <c r="AE41" s="150">
        <f t="shared" si="23"/>
        <v>0</v>
      </c>
      <c r="AF41" s="150">
        <f t="shared" si="23"/>
        <v>0</v>
      </c>
      <c r="AG41" s="150">
        <f t="shared" si="23"/>
        <v>0</v>
      </c>
      <c r="AH41" s="150">
        <f t="shared" si="23"/>
        <v>0</v>
      </c>
      <c r="AI41" s="150">
        <f t="shared" si="23"/>
        <v>0</v>
      </c>
      <c r="AJ41" s="150">
        <f t="shared" si="23"/>
        <v>0</v>
      </c>
      <c r="AK41" s="150">
        <f t="shared" si="23"/>
        <v>0</v>
      </c>
      <c r="AL41" s="150">
        <f t="shared" si="23"/>
        <v>0</v>
      </c>
      <c r="AM41" s="150">
        <f t="shared" si="23"/>
        <v>0</v>
      </c>
      <c r="AN41" s="151">
        <f t="shared" si="23"/>
        <v>0</v>
      </c>
      <c r="AO41" s="100"/>
      <c r="AP41" s="100"/>
      <c r="AQ41" s="100"/>
      <c r="AR41" s="100"/>
      <c r="AS41" s="100"/>
      <c r="AT41" s="98"/>
    </row>
    <row r="42" spans="1:46" ht="14" thickBot="1" x14ac:dyDescent="0.2">
      <c r="A42" s="219"/>
      <c r="B42" s="581"/>
      <c r="C42" s="513"/>
      <c r="D42" s="514"/>
      <c r="E42" s="276">
        <f>I.InputData!E42</f>
        <v>0</v>
      </c>
      <c r="F42" s="276">
        <f>I.InputData!F42</f>
        <v>1</v>
      </c>
      <c r="G42" s="276">
        <f>I.InputData!G42</f>
        <v>2</v>
      </c>
      <c r="H42" s="276">
        <f>I.InputData!H42</f>
        <v>3</v>
      </c>
      <c r="I42" s="276">
        <f>I.InputData!I42</f>
        <v>4</v>
      </c>
      <c r="J42" s="276">
        <f>I.InputData!J42</f>
        <v>5</v>
      </c>
      <c r="K42" s="276">
        <f>I.InputData!K42</f>
        <v>6</v>
      </c>
      <c r="L42" s="276">
        <f>I.InputData!L42</f>
        <v>7</v>
      </c>
      <c r="M42" s="276">
        <f>I.InputData!M42</f>
        <v>8</v>
      </c>
      <c r="N42" s="276">
        <f>I.InputData!N42</f>
        <v>9</v>
      </c>
      <c r="O42" s="277">
        <f>I.InputData!O42</f>
        <v>10</v>
      </c>
      <c r="P42" s="37"/>
      <c r="Q42" s="213"/>
      <c r="R42" s="214"/>
      <c r="S42" s="143"/>
      <c r="T42" s="143"/>
      <c r="U42" s="143"/>
      <c r="V42" s="143"/>
      <c r="W42" s="143"/>
      <c r="X42" s="145"/>
      <c r="Y42" s="145"/>
      <c r="Z42" s="143"/>
      <c r="AA42" s="143"/>
      <c r="AB42" s="550"/>
      <c r="AC42" s="441" t="s">
        <v>124</v>
      </c>
      <c r="AD42" s="150">
        <f t="shared" si="22"/>
        <v>0</v>
      </c>
      <c r="AE42" s="150">
        <f t="shared" si="23"/>
        <v>0</v>
      </c>
      <c r="AF42" s="150">
        <f t="shared" si="23"/>
        <v>0</v>
      </c>
      <c r="AG42" s="150">
        <f t="shared" si="23"/>
        <v>0</v>
      </c>
      <c r="AH42" s="150">
        <f t="shared" si="23"/>
        <v>0</v>
      </c>
      <c r="AI42" s="150">
        <f t="shared" si="23"/>
        <v>0</v>
      </c>
      <c r="AJ42" s="150">
        <f t="shared" si="23"/>
        <v>0</v>
      </c>
      <c r="AK42" s="150">
        <f t="shared" si="23"/>
        <v>0</v>
      </c>
      <c r="AL42" s="150">
        <f t="shared" si="23"/>
        <v>0</v>
      </c>
      <c r="AM42" s="150">
        <f t="shared" si="23"/>
        <v>0</v>
      </c>
      <c r="AN42" s="151">
        <f t="shared" si="23"/>
        <v>0</v>
      </c>
      <c r="AO42" s="100"/>
      <c r="AP42" s="100"/>
      <c r="AQ42" s="100"/>
      <c r="AR42" s="100"/>
      <c r="AS42" s="100"/>
      <c r="AT42" s="98"/>
    </row>
    <row r="43" spans="1:46" x14ac:dyDescent="0.15">
      <c r="A43" s="219"/>
      <c r="B43" s="581"/>
      <c r="C43" s="515" t="str">
        <f>I.InputData!C43</f>
        <v>Selling Expenses</v>
      </c>
      <c r="D43" s="516"/>
      <c r="E43" s="278">
        <f>I.InputData!E43</f>
        <v>60000</v>
      </c>
      <c r="F43" s="278">
        <f>I.InputData!F43</f>
        <v>60000</v>
      </c>
      <c r="G43" s="278">
        <f>I.InputData!G43</f>
        <v>60000</v>
      </c>
      <c r="H43" s="278">
        <f>I.InputData!H43</f>
        <v>70000</v>
      </c>
      <c r="I43" s="278">
        <f>I.InputData!I43</f>
        <v>70000</v>
      </c>
      <c r="J43" s="278">
        <f>I.InputData!J43</f>
        <v>70000</v>
      </c>
      <c r="K43" s="278">
        <f>I.InputData!K43</f>
        <v>75000</v>
      </c>
      <c r="L43" s="278">
        <f>I.InputData!L43</f>
        <v>75000</v>
      </c>
      <c r="M43" s="278">
        <f>I.InputData!M43</f>
        <v>75000</v>
      </c>
      <c r="N43" s="278">
        <f>I.InputData!N43</f>
        <v>70000</v>
      </c>
      <c r="O43" s="279">
        <f>I.InputData!O43</f>
        <v>70000</v>
      </c>
      <c r="P43" s="37"/>
      <c r="Q43" s="213"/>
      <c r="R43" s="214"/>
      <c r="S43" s="143"/>
      <c r="T43" s="143"/>
      <c r="U43" s="143"/>
      <c r="V43" s="143"/>
      <c r="W43" s="143"/>
      <c r="X43" s="145"/>
      <c r="Y43" s="145"/>
      <c r="Z43" s="143"/>
      <c r="AA43" s="143"/>
      <c r="AB43" s="550"/>
      <c r="AC43" s="441" t="s">
        <v>158</v>
      </c>
      <c r="AD43" s="150">
        <f t="shared" si="22"/>
        <v>0</v>
      </c>
      <c r="AE43" s="150">
        <f t="shared" si="23"/>
        <v>0</v>
      </c>
      <c r="AF43" s="150">
        <f t="shared" si="23"/>
        <v>0</v>
      </c>
      <c r="AG43" s="150">
        <f t="shared" si="23"/>
        <v>0</v>
      </c>
      <c r="AH43" s="150">
        <f t="shared" si="23"/>
        <v>0</v>
      </c>
      <c r="AI43" s="150">
        <f t="shared" si="23"/>
        <v>0</v>
      </c>
      <c r="AJ43" s="150">
        <f t="shared" si="23"/>
        <v>0</v>
      </c>
      <c r="AK43" s="150">
        <f t="shared" si="23"/>
        <v>0</v>
      </c>
      <c r="AL43" s="150">
        <f t="shared" si="23"/>
        <v>0</v>
      </c>
      <c r="AM43" s="150">
        <f t="shared" si="23"/>
        <v>0</v>
      </c>
      <c r="AN43" s="151">
        <f t="shared" si="23"/>
        <v>0</v>
      </c>
      <c r="AO43" s="100"/>
      <c r="AP43" s="100"/>
      <c r="AQ43" s="100"/>
      <c r="AR43" s="100"/>
      <c r="AS43" s="100"/>
      <c r="AT43" s="98"/>
    </row>
    <row r="44" spans="1:46" ht="14" customHeight="1" x14ac:dyDescent="0.15">
      <c r="A44" s="219"/>
      <c r="B44" s="581"/>
      <c r="C44" s="517" t="str">
        <f>I.InputData!C44</f>
        <v>General Expenses</v>
      </c>
      <c r="D44" s="518"/>
      <c r="E44" s="280">
        <f>I.InputData!E44</f>
        <v>45000</v>
      </c>
      <c r="F44" s="280">
        <f>I.InputData!F44</f>
        <v>45000</v>
      </c>
      <c r="G44" s="280">
        <f>I.InputData!G44</f>
        <v>45000</v>
      </c>
      <c r="H44" s="280">
        <f>I.InputData!H44</f>
        <v>55000</v>
      </c>
      <c r="I44" s="280">
        <f>I.InputData!I44</f>
        <v>55000</v>
      </c>
      <c r="J44" s="280">
        <f>I.InputData!J44</f>
        <v>55000</v>
      </c>
      <c r="K44" s="280">
        <f>I.InputData!K44</f>
        <v>60000</v>
      </c>
      <c r="L44" s="280">
        <f>I.InputData!L44</f>
        <v>60000</v>
      </c>
      <c r="M44" s="280">
        <f>I.InputData!M44</f>
        <v>60000</v>
      </c>
      <c r="N44" s="280">
        <f>I.InputData!N44</f>
        <v>55000</v>
      </c>
      <c r="O44" s="281">
        <f>I.InputData!O44</f>
        <v>55000</v>
      </c>
      <c r="P44" s="37"/>
      <c r="Q44" s="213"/>
      <c r="R44" s="214"/>
      <c r="S44" s="143"/>
      <c r="T44" s="143"/>
      <c r="U44" s="143"/>
      <c r="V44" s="143"/>
      <c r="W44" s="143"/>
      <c r="X44" s="145"/>
      <c r="Y44" s="145"/>
      <c r="Z44" s="143"/>
      <c r="AA44" s="143"/>
      <c r="AB44" s="550"/>
      <c r="AC44" s="441" t="s">
        <v>159</v>
      </c>
      <c r="AD44" s="353">
        <f t="shared" si="22"/>
        <v>0</v>
      </c>
      <c r="AE44" s="150">
        <f t="shared" si="23"/>
        <v>0</v>
      </c>
      <c r="AF44" s="150">
        <f t="shared" si="23"/>
        <v>0</v>
      </c>
      <c r="AG44" s="150">
        <f t="shared" si="23"/>
        <v>0</v>
      </c>
      <c r="AH44" s="150">
        <f t="shared" si="23"/>
        <v>0</v>
      </c>
      <c r="AI44" s="150">
        <f t="shared" si="23"/>
        <v>0</v>
      </c>
      <c r="AJ44" s="150">
        <f t="shared" si="23"/>
        <v>0</v>
      </c>
      <c r="AK44" s="150">
        <f t="shared" si="23"/>
        <v>0</v>
      </c>
      <c r="AL44" s="150">
        <f t="shared" si="23"/>
        <v>0</v>
      </c>
      <c r="AM44" s="150">
        <f t="shared" si="23"/>
        <v>0</v>
      </c>
      <c r="AN44" s="151">
        <f t="shared" si="23"/>
        <v>0</v>
      </c>
      <c r="AO44" s="100"/>
      <c r="AP44" s="100"/>
      <c r="AQ44" s="100"/>
      <c r="AR44" s="100"/>
      <c r="AS44" s="100"/>
      <c r="AT44" s="98"/>
    </row>
    <row r="45" spans="1:46" x14ac:dyDescent="0.15">
      <c r="A45" s="219"/>
      <c r="B45" s="581"/>
      <c r="C45" s="517" t="str">
        <f>I.InputData!C45</f>
        <v>Administration Expenses</v>
      </c>
      <c r="D45" s="518"/>
      <c r="E45" s="280">
        <f>I.InputData!E45</f>
        <v>35000</v>
      </c>
      <c r="F45" s="280">
        <f>I.InputData!F45</f>
        <v>35000</v>
      </c>
      <c r="G45" s="280">
        <f>I.InputData!G45</f>
        <v>35000</v>
      </c>
      <c r="H45" s="280">
        <f>I.InputData!H45</f>
        <v>45000</v>
      </c>
      <c r="I45" s="280">
        <f>I.InputData!I45</f>
        <v>45000</v>
      </c>
      <c r="J45" s="280">
        <f>I.InputData!J45</f>
        <v>45000</v>
      </c>
      <c r="K45" s="280">
        <f>I.InputData!K45</f>
        <v>50000</v>
      </c>
      <c r="L45" s="280">
        <f>I.InputData!L45</f>
        <v>50000</v>
      </c>
      <c r="M45" s="280">
        <f>I.InputData!M45</f>
        <v>50000</v>
      </c>
      <c r="N45" s="280">
        <f>I.InputData!N45</f>
        <v>45000</v>
      </c>
      <c r="O45" s="281">
        <f>I.InputData!O45</f>
        <v>45000</v>
      </c>
      <c r="P45" s="37"/>
      <c r="Q45" s="213"/>
      <c r="AB45" s="550"/>
      <c r="AC45" s="441" t="s">
        <v>168</v>
      </c>
      <c r="AD45" s="353">
        <f t="shared" si="22"/>
        <v>0</v>
      </c>
      <c r="AE45" s="150">
        <f t="shared" ref="AE45:AM45" si="24">(AD45*(1-$F$25)+F36)</f>
        <v>0</v>
      </c>
      <c r="AF45" s="150">
        <f t="shared" si="24"/>
        <v>0</v>
      </c>
      <c r="AG45" s="150">
        <f t="shared" si="24"/>
        <v>0</v>
      </c>
      <c r="AH45" s="150">
        <f t="shared" si="24"/>
        <v>0</v>
      </c>
      <c r="AI45" s="150">
        <f t="shared" si="24"/>
        <v>0</v>
      </c>
      <c r="AJ45" s="150">
        <f t="shared" si="24"/>
        <v>0</v>
      </c>
      <c r="AK45" s="150">
        <f t="shared" si="24"/>
        <v>0</v>
      </c>
      <c r="AL45" s="150">
        <f t="shared" si="24"/>
        <v>0</v>
      </c>
      <c r="AM45" s="150">
        <f t="shared" si="24"/>
        <v>0</v>
      </c>
      <c r="AN45" s="151">
        <f>(AM45*(1-$F$25)+O36)</f>
        <v>0</v>
      </c>
      <c r="AT45" s="98"/>
    </row>
    <row r="46" spans="1:46" x14ac:dyDescent="0.15">
      <c r="A46" s="219"/>
      <c r="B46" s="581"/>
      <c r="C46" s="570" t="str">
        <f>I.InputData!C46</f>
        <v>Other OPEX N.1</v>
      </c>
      <c r="D46" s="571"/>
      <c r="E46" s="272">
        <f>I.InputData!E46</f>
        <v>0</v>
      </c>
      <c r="F46" s="272">
        <f>I.InputData!F46</f>
        <v>0</v>
      </c>
      <c r="G46" s="272">
        <f>I.InputData!G46</f>
        <v>0</v>
      </c>
      <c r="H46" s="272">
        <f>I.InputData!H46</f>
        <v>0</v>
      </c>
      <c r="I46" s="272">
        <f>I.InputData!I46</f>
        <v>0</v>
      </c>
      <c r="J46" s="272">
        <f>I.InputData!J46</f>
        <v>0</v>
      </c>
      <c r="K46" s="272">
        <f>I.InputData!K46</f>
        <v>0</v>
      </c>
      <c r="L46" s="272">
        <f>I.InputData!L46</f>
        <v>0</v>
      </c>
      <c r="M46" s="272">
        <f>I.InputData!M46</f>
        <v>0</v>
      </c>
      <c r="N46" s="272">
        <f>I.InputData!N46</f>
        <v>0</v>
      </c>
      <c r="O46" s="273">
        <f>I.InputData!O46</f>
        <v>0</v>
      </c>
      <c r="P46" s="37"/>
      <c r="Q46" s="213"/>
      <c r="AB46" s="551"/>
      <c r="AC46" s="441" t="s">
        <v>169</v>
      </c>
      <c r="AD46" s="354">
        <f t="shared" si="22"/>
        <v>0</v>
      </c>
      <c r="AE46" s="152">
        <f t="shared" ref="AE46:AM46" si="25">(AD46*(1-$F$25)+F37)</f>
        <v>0</v>
      </c>
      <c r="AF46" s="152">
        <f t="shared" si="25"/>
        <v>0</v>
      </c>
      <c r="AG46" s="152">
        <f t="shared" si="25"/>
        <v>0</v>
      </c>
      <c r="AH46" s="152">
        <f t="shared" si="25"/>
        <v>0</v>
      </c>
      <c r="AI46" s="152">
        <f t="shared" si="25"/>
        <v>0</v>
      </c>
      <c r="AJ46" s="152">
        <f t="shared" si="25"/>
        <v>0</v>
      </c>
      <c r="AK46" s="152">
        <f t="shared" si="25"/>
        <v>0</v>
      </c>
      <c r="AL46" s="152">
        <f t="shared" si="25"/>
        <v>0</v>
      </c>
      <c r="AM46" s="152">
        <f t="shared" si="25"/>
        <v>0</v>
      </c>
      <c r="AN46" s="151">
        <f>(AM46*(1-$F$25)+O37)</f>
        <v>0</v>
      </c>
      <c r="AT46" s="98"/>
    </row>
    <row r="47" spans="1:46" ht="13" customHeight="1" x14ac:dyDescent="0.15">
      <c r="A47" s="219"/>
      <c r="B47" s="581"/>
      <c r="C47" s="570" t="str">
        <f>I.InputData!C47</f>
        <v>Other OPEX N.2</v>
      </c>
      <c r="D47" s="571"/>
      <c r="E47" s="272">
        <f>I.InputData!E47</f>
        <v>0</v>
      </c>
      <c r="F47" s="272">
        <f>I.InputData!F47</f>
        <v>0</v>
      </c>
      <c r="G47" s="272">
        <f>I.InputData!G47</f>
        <v>0</v>
      </c>
      <c r="H47" s="272">
        <f>I.InputData!H47</f>
        <v>0</v>
      </c>
      <c r="I47" s="272">
        <f>I.InputData!I47</f>
        <v>0</v>
      </c>
      <c r="J47" s="272">
        <f>I.InputData!J47</f>
        <v>0</v>
      </c>
      <c r="K47" s="272">
        <f>I.InputData!K47</f>
        <v>0</v>
      </c>
      <c r="L47" s="272">
        <f>I.InputData!L47</f>
        <v>0</v>
      </c>
      <c r="M47" s="272">
        <f>I.InputData!M47</f>
        <v>0</v>
      </c>
      <c r="N47" s="272">
        <f>I.InputData!N47</f>
        <v>0</v>
      </c>
      <c r="O47" s="273">
        <f>I.InputData!O47</f>
        <v>0</v>
      </c>
      <c r="P47" s="37"/>
      <c r="Q47" s="213"/>
      <c r="R47" s="214"/>
      <c r="S47" s="143"/>
      <c r="T47" s="143"/>
      <c r="U47" s="143"/>
      <c r="V47" s="143"/>
      <c r="W47" s="143"/>
      <c r="X47" s="143"/>
      <c r="Y47" s="143"/>
      <c r="Z47" s="143"/>
      <c r="AA47" s="143"/>
      <c r="AB47" s="549" t="s">
        <v>101</v>
      </c>
      <c r="AC47" s="440" t="s">
        <v>122</v>
      </c>
      <c r="AD47" s="148">
        <f t="shared" ref="AD47:AN50" si="26">E31*$D17*(1+$D$24)^AD$39</f>
        <v>170000</v>
      </c>
      <c r="AE47" s="148">
        <f t="shared" si="26"/>
        <v>867000</v>
      </c>
      <c r="AF47" s="148">
        <f t="shared" si="26"/>
        <v>1768680</v>
      </c>
      <c r="AG47" s="148">
        <f t="shared" si="26"/>
        <v>1984458.96</v>
      </c>
      <c r="AH47" s="148">
        <f t="shared" si="26"/>
        <v>2116154.8728</v>
      </c>
      <c r="AI47" s="148">
        <f t="shared" si="26"/>
        <v>2440018.5750719998</v>
      </c>
      <c r="AJ47" s="148">
        <f t="shared" si="26"/>
        <v>2871714.1691232002</v>
      </c>
      <c r="AK47" s="148">
        <f t="shared" si="26"/>
        <v>2636233.607255097</v>
      </c>
      <c r="AL47" s="148">
        <f t="shared" si="26"/>
        <v>2589367.2320150067</v>
      </c>
      <c r="AM47" s="148">
        <f t="shared" si="26"/>
        <v>2437988.8399895141</v>
      </c>
      <c r="AN47" s="149">
        <f t="shared" si="26"/>
        <v>2279519.5653901957</v>
      </c>
      <c r="AO47" s="100"/>
      <c r="AP47" s="100"/>
      <c r="AQ47" s="100"/>
      <c r="AR47" s="100"/>
      <c r="AS47" s="100"/>
      <c r="AT47" s="98"/>
    </row>
    <row r="48" spans="1:46" ht="14" thickBot="1" x14ac:dyDescent="0.2">
      <c r="A48" s="219"/>
      <c r="B48" s="582"/>
      <c r="C48" s="572" t="str">
        <f>I.InputData!C48</f>
        <v>Other OPEX N.3</v>
      </c>
      <c r="D48" s="573"/>
      <c r="E48" s="274">
        <f>I.InputData!E48</f>
        <v>0</v>
      </c>
      <c r="F48" s="274">
        <f>I.InputData!F48</f>
        <v>0</v>
      </c>
      <c r="G48" s="274">
        <f>I.InputData!G48</f>
        <v>0</v>
      </c>
      <c r="H48" s="274">
        <f>I.InputData!H48</f>
        <v>0</v>
      </c>
      <c r="I48" s="274">
        <f>I.InputData!I48</f>
        <v>0</v>
      </c>
      <c r="J48" s="274">
        <f>I.InputData!J48</f>
        <v>0</v>
      </c>
      <c r="K48" s="274">
        <f>I.InputData!K48</f>
        <v>0</v>
      </c>
      <c r="L48" s="274">
        <f>I.InputData!L48</f>
        <v>0</v>
      </c>
      <c r="M48" s="274">
        <f>I.InputData!M48</f>
        <v>0</v>
      </c>
      <c r="N48" s="274">
        <f>I.InputData!N48</f>
        <v>0</v>
      </c>
      <c r="O48" s="275">
        <f>I.InputData!O48</f>
        <v>0</v>
      </c>
      <c r="P48" s="37"/>
      <c r="Q48" s="213"/>
      <c r="R48" s="214"/>
      <c r="S48" s="143"/>
      <c r="T48" s="143"/>
      <c r="U48" s="143"/>
      <c r="V48" s="143"/>
      <c r="W48" s="143"/>
      <c r="X48" s="143"/>
      <c r="Y48" s="143"/>
      <c r="Z48" s="143"/>
      <c r="AA48" s="143"/>
      <c r="AB48" s="550"/>
      <c r="AC48" s="441" t="s">
        <v>123</v>
      </c>
      <c r="AD48" s="353">
        <f t="shared" si="26"/>
        <v>0</v>
      </c>
      <c r="AE48" s="150">
        <f t="shared" si="26"/>
        <v>0</v>
      </c>
      <c r="AF48" s="150">
        <f t="shared" si="26"/>
        <v>0</v>
      </c>
      <c r="AG48" s="150">
        <f t="shared" si="26"/>
        <v>0</v>
      </c>
      <c r="AH48" s="150">
        <f t="shared" si="26"/>
        <v>0</v>
      </c>
      <c r="AI48" s="150">
        <f t="shared" si="26"/>
        <v>0</v>
      </c>
      <c r="AJ48" s="150">
        <f t="shared" si="26"/>
        <v>0</v>
      </c>
      <c r="AK48" s="150">
        <f t="shared" si="26"/>
        <v>0</v>
      </c>
      <c r="AL48" s="150">
        <f t="shared" si="26"/>
        <v>0</v>
      </c>
      <c r="AM48" s="150">
        <f t="shared" si="26"/>
        <v>0</v>
      </c>
      <c r="AN48" s="151">
        <f t="shared" si="26"/>
        <v>0</v>
      </c>
      <c r="AO48" s="100"/>
      <c r="AP48" s="100"/>
      <c r="AQ48" s="100"/>
      <c r="AR48" s="100"/>
      <c r="AS48" s="100"/>
      <c r="AT48" s="98"/>
    </row>
    <row r="49" spans="1:46" ht="16" customHeight="1" x14ac:dyDescent="0.15">
      <c r="A49" s="219"/>
      <c r="B49" s="219"/>
      <c r="C49" s="219"/>
      <c r="D49" s="219"/>
      <c r="E49" s="219"/>
      <c r="F49" s="219"/>
      <c r="G49" s="219"/>
      <c r="H49" s="219"/>
      <c r="I49" s="219"/>
      <c r="J49" s="219"/>
      <c r="K49" s="219"/>
      <c r="L49" s="219"/>
      <c r="M49" s="219"/>
      <c r="N49" s="219"/>
      <c r="O49" s="219"/>
      <c r="P49" s="37"/>
      <c r="Q49" s="213"/>
      <c r="R49" s="214"/>
      <c r="S49" s="143"/>
      <c r="T49" s="143"/>
      <c r="U49" s="143"/>
      <c r="V49" s="143"/>
      <c r="W49" s="143"/>
      <c r="X49" s="143"/>
      <c r="Y49" s="143"/>
      <c r="Z49" s="143"/>
      <c r="AA49" s="143"/>
      <c r="AB49" s="550"/>
      <c r="AC49" s="441" t="s">
        <v>124</v>
      </c>
      <c r="AD49" s="353">
        <f t="shared" si="26"/>
        <v>0</v>
      </c>
      <c r="AE49" s="150">
        <f t="shared" si="26"/>
        <v>0</v>
      </c>
      <c r="AF49" s="150">
        <f t="shared" si="26"/>
        <v>0</v>
      </c>
      <c r="AG49" s="150">
        <f t="shared" si="26"/>
        <v>0</v>
      </c>
      <c r="AH49" s="150">
        <f t="shared" si="26"/>
        <v>0</v>
      </c>
      <c r="AI49" s="150">
        <f t="shared" si="26"/>
        <v>0</v>
      </c>
      <c r="AJ49" s="150">
        <f t="shared" si="26"/>
        <v>0</v>
      </c>
      <c r="AK49" s="150">
        <f t="shared" si="26"/>
        <v>0</v>
      </c>
      <c r="AL49" s="150">
        <f t="shared" si="26"/>
        <v>0</v>
      </c>
      <c r="AM49" s="150">
        <f t="shared" si="26"/>
        <v>0</v>
      </c>
      <c r="AN49" s="151">
        <f t="shared" si="26"/>
        <v>0</v>
      </c>
      <c r="AO49" s="100"/>
      <c r="AP49" s="100"/>
      <c r="AQ49" s="100"/>
      <c r="AR49" s="100"/>
      <c r="AS49" s="100"/>
      <c r="AT49" s="98"/>
    </row>
    <row r="50" spans="1:46" ht="12.75" customHeight="1" x14ac:dyDescent="0.15">
      <c r="A50" s="219"/>
      <c r="B50" s="219"/>
      <c r="C50" s="219"/>
      <c r="D50" s="219"/>
      <c r="E50" s="219"/>
      <c r="F50" s="219"/>
      <c r="G50" s="219"/>
      <c r="H50" s="219"/>
      <c r="I50" s="219"/>
      <c r="J50" s="219"/>
      <c r="K50" s="219"/>
      <c r="L50" s="219"/>
      <c r="M50" s="219"/>
      <c r="N50" s="219"/>
      <c r="O50" s="219"/>
      <c r="P50" s="37"/>
      <c r="Q50" s="213"/>
      <c r="R50" s="214"/>
      <c r="S50" s="143"/>
      <c r="T50" s="143"/>
      <c r="U50" s="143"/>
      <c r="V50" s="143"/>
      <c r="W50" s="143"/>
      <c r="X50" s="143"/>
      <c r="Y50" s="143"/>
      <c r="Z50" s="143"/>
      <c r="AA50" s="143"/>
      <c r="AB50" s="550"/>
      <c r="AC50" s="441" t="s">
        <v>158</v>
      </c>
      <c r="AD50" s="353">
        <f t="shared" si="26"/>
        <v>0</v>
      </c>
      <c r="AE50" s="150">
        <f t="shared" si="26"/>
        <v>0</v>
      </c>
      <c r="AF50" s="150">
        <f t="shared" si="26"/>
        <v>0</v>
      </c>
      <c r="AG50" s="150">
        <f t="shared" si="26"/>
        <v>0</v>
      </c>
      <c r="AH50" s="150">
        <f t="shared" si="26"/>
        <v>0</v>
      </c>
      <c r="AI50" s="150">
        <f t="shared" si="26"/>
        <v>0</v>
      </c>
      <c r="AJ50" s="150">
        <f t="shared" si="26"/>
        <v>0</v>
      </c>
      <c r="AK50" s="150">
        <f t="shared" si="26"/>
        <v>0</v>
      </c>
      <c r="AL50" s="150">
        <f t="shared" si="26"/>
        <v>0</v>
      </c>
      <c r="AM50" s="150">
        <f t="shared" si="26"/>
        <v>0</v>
      </c>
      <c r="AN50" s="151">
        <f t="shared" si="26"/>
        <v>0</v>
      </c>
      <c r="AO50" s="100"/>
      <c r="AP50" s="100"/>
      <c r="AQ50" s="100"/>
      <c r="AR50" s="100"/>
      <c r="AS50" s="100"/>
      <c r="AT50" s="98"/>
    </row>
    <row r="51" spans="1:46" ht="12.75" customHeight="1" x14ac:dyDescent="0.15">
      <c r="A51" s="219"/>
      <c r="B51" s="219"/>
      <c r="C51" s="219"/>
      <c r="D51" s="219"/>
      <c r="E51" s="219"/>
      <c r="F51" s="219"/>
      <c r="G51" s="219"/>
      <c r="H51" s="219"/>
      <c r="I51" s="219"/>
      <c r="J51" s="219"/>
      <c r="K51" s="219"/>
      <c r="L51" s="219"/>
      <c r="M51" s="219"/>
      <c r="N51" s="219"/>
      <c r="O51" s="219"/>
      <c r="P51" s="37"/>
      <c r="Q51" s="213"/>
      <c r="R51" s="214"/>
      <c r="S51" s="143"/>
      <c r="T51" s="143"/>
      <c r="U51" s="143"/>
      <c r="V51" s="143"/>
      <c r="W51" s="143"/>
      <c r="X51" s="143"/>
      <c r="Y51" s="143"/>
      <c r="Z51" s="143"/>
      <c r="AA51" s="143"/>
      <c r="AB51" s="550"/>
      <c r="AC51" s="441" t="s">
        <v>159</v>
      </c>
      <c r="AD51" s="353">
        <f t="shared" ref="AD51:AN51" si="27">E35*$D21*(1+$D$24)^AD$39</f>
        <v>0</v>
      </c>
      <c r="AE51" s="150">
        <f t="shared" si="27"/>
        <v>0</v>
      </c>
      <c r="AF51" s="150">
        <f t="shared" si="27"/>
        <v>0</v>
      </c>
      <c r="AG51" s="150">
        <f t="shared" si="27"/>
        <v>0</v>
      </c>
      <c r="AH51" s="150">
        <f t="shared" si="27"/>
        <v>0</v>
      </c>
      <c r="AI51" s="150">
        <f t="shared" si="27"/>
        <v>0</v>
      </c>
      <c r="AJ51" s="150">
        <f t="shared" si="27"/>
        <v>0</v>
      </c>
      <c r="AK51" s="150">
        <f t="shared" si="27"/>
        <v>0</v>
      </c>
      <c r="AL51" s="150">
        <f t="shared" si="27"/>
        <v>0</v>
      </c>
      <c r="AM51" s="150">
        <f t="shared" si="27"/>
        <v>0</v>
      </c>
      <c r="AN51" s="151">
        <f t="shared" si="27"/>
        <v>0</v>
      </c>
      <c r="AO51" s="100"/>
      <c r="AP51" s="100"/>
      <c r="AQ51" s="100"/>
      <c r="AR51" s="100"/>
      <c r="AS51" s="100"/>
      <c r="AT51" s="98"/>
    </row>
    <row r="52" spans="1:46" ht="12.75" customHeight="1" x14ac:dyDescent="0.15">
      <c r="A52" s="219"/>
      <c r="B52" s="219"/>
      <c r="C52" s="219"/>
      <c r="D52" s="219"/>
      <c r="E52" s="219"/>
      <c r="F52" s="219"/>
      <c r="G52" s="219"/>
      <c r="H52" s="219"/>
      <c r="I52" s="219"/>
      <c r="J52" s="219"/>
      <c r="K52" s="219"/>
      <c r="L52" s="219"/>
      <c r="M52" s="219"/>
      <c r="N52" s="219"/>
      <c r="O52" s="219"/>
      <c r="P52" s="37"/>
      <c r="Q52" s="213"/>
      <c r="AB52" s="550"/>
      <c r="AC52" s="441" t="s">
        <v>168</v>
      </c>
      <c r="AD52" s="353">
        <f t="shared" ref="AD52:AN52" si="28">E36*$D22*(1+$D$24)^AD$39</f>
        <v>0</v>
      </c>
      <c r="AE52" s="150">
        <f t="shared" si="28"/>
        <v>0</v>
      </c>
      <c r="AF52" s="150">
        <f t="shared" si="28"/>
        <v>0</v>
      </c>
      <c r="AG52" s="150">
        <f t="shared" si="28"/>
        <v>0</v>
      </c>
      <c r="AH52" s="150">
        <f t="shared" si="28"/>
        <v>0</v>
      </c>
      <c r="AI52" s="150">
        <f t="shared" si="28"/>
        <v>0</v>
      </c>
      <c r="AJ52" s="150">
        <f t="shared" si="28"/>
        <v>0</v>
      </c>
      <c r="AK52" s="150">
        <f t="shared" si="28"/>
        <v>0</v>
      </c>
      <c r="AL52" s="150">
        <f t="shared" si="28"/>
        <v>0</v>
      </c>
      <c r="AM52" s="150">
        <f t="shared" si="28"/>
        <v>0</v>
      </c>
      <c r="AN52" s="151">
        <f t="shared" si="28"/>
        <v>0</v>
      </c>
      <c r="AT52" s="98"/>
    </row>
    <row r="53" spans="1:46" ht="16" thickBot="1" x14ac:dyDescent="0.25">
      <c r="A53" s="219"/>
      <c r="B53" s="219"/>
      <c r="C53" s="223" t="str">
        <f>I.InputData!C51</f>
        <v>Table 5. Capital Expenditures</v>
      </c>
      <c r="D53" s="219"/>
      <c r="E53" s="219"/>
      <c r="F53" s="219"/>
      <c r="G53" s="219"/>
      <c r="H53" s="219"/>
      <c r="I53" s="219"/>
      <c r="J53" s="219"/>
      <c r="K53" s="219"/>
      <c r="L53" s="219"/>
      <c r="M53" s="219"/>
      <c r="N53" s="219"/>
      <c r="O53" s="219"/>
      <c r="P53" s="37"/>
      <c r="Q53" s="213"/>
      <c r="AB53" s="550"/>
      <c r="AC53" s="441" t="s">
        <v>169</v>
      </c>
      <c r="AD53" s="353">
        <f t="shared" ref="AD53:AN53" si="29">E37*$D23*(1+$D$24)^AD$39</f>
        <v>0</v>
      </c>
      <c r="AE53" s="150">
        <f t="shared" si="29"/>
        <v>0</v>
      </c>
      <c r="AF53" s="150">
        <f t="shared" si="29"/>
        <v>0</v>
      </c>
      <c r="AG53" s="150">
        <f t="shared" si="29"/>
        <v>0</v>
      </c>
      <c r="AH53" s="150">
        <f t="shared" si="29"/>
        <v>0</v>
      </c>
      <c r="AI53" s="150">
        <f t="shared" si="29"/>
        <v>0</v>
      </c>
      <c r="AJ53" s="150">
        <f t="shared" si="29"/>
        <v>0</v>
      </c>
      <c r="AK53" s="150">
        <f t="shared" si="29"/>
        <v>0</v>
      </c>
      <c r="AL53" s="150">
        <f t="shared" si="29"/>
        <v>0</v>
      </c>
      <c r="AM53" s="150">
        <f t="shared" si="29"/>
        <v>0</v>
      </c>
      <c r="AN53" s="151">
        <f t="shared" si="29"/>
        <v>0</v>
      </c>
      <c r="AT53" s="98"/>
    </row>
    <row r="54" spans="1:46" x14ac:dyDescent="0.15">
      <c r="A54" s="219"/>
      <c r="B54" s="519" t="str">
        <f>I.InputData!B52</f>
        <v>CAPEX</v>
      </c>
      <c r="C54" s="523" t="str">
        <f>I.InputData!C52</f>
        <v>Estimated CAPEX</v>
      </c>
      <c r="D54" s="524"/>
      <c r="E54" s="282">
        <f>+$G$11</f>
        <v>45292</v>
      </c>
      <c r="F54" s="265" t="str">
        <f>I.InputData!F52</f>
        <v>Commercial Phase</v>
      </c>
      <c r="G54" s="266"/>
      <c r="H54" s="266"/>
      <c r="I54" s="266"/>
      <c r="J54" s="266"/>
      <c r="K54" s="266"/>
      <c r="L54" s="266"/>
      <c r="M54" s="266"/>
      <c r="N54" s="266"/>
      <c r="O54" s="283"/>
      <c r="P54" s="37"/>
      <c r="Q54" s="213"/>
      <c r="R54" s="214"/>
      <c r="S54" s="100"/>
      <c r="T54" s="100"/>
      <c r="U54" s="100"/>
      <c r="V54" s="100"/>
      <c r="W54" s="143"/>
      <c r="X54" s="143"/>
      <c r="Y54" s="143"/>
      <c r="Z54" s="143"/>
      <c r="AA54" s="143"/>
      <c r="AB54" s="551"/>
      <c r="AC54" s="441" t="s">
        <v>6</v>
      </c>
      <c r="AD54" s="150">
        <f>+SUM(AD47:AD53)</f>
        <v>170000</v>
      </c>
      <c r="AE54" s="150">
        <f t="shared" ref="AE54:AL54" si="30">+SUM(AE47:AE53)</f>
        <v>867000</v>
      </c>
      <c r="AF54" s="150">
        <f t="shared" si="30"/>
        <v>1768680</v>
      </c>
      <c r="AG54" s="150">
        <f t="shared" si="30"/>
        <v>1984458.96</v>
      </c>
      <c r="AH54" s="150">
        <f t="shared" si="30"/>
        <v>2116154.8728</v>
      </c>
      <c r="AI54" s="150">
        <f t="shared" si="30"/>
        <v>2440018.5750719998</v>
      </c>
      <c r="AJ54" s="150">
        <f t="shared" si="30"/>
        <v>2871714.1691232002</v>
      </c>
      <c r="AK54" s="150">
        <f t="shared" si="30"/>
        <v>2636233.607255097</v>
      </c>
      <c r="AL54" s="150">
        <f t="shared" si="30"/>
        <v>2589367.2320150067</v>
      </c>
      <c r="AM54" s="150">
        <f>+SUM(AM47:AM53)</f>
        <v>2437988.8399895141</v>
      </c>
      <c r="AN54" s="151">
        <f>+SUM(AN47:AN53)</f>
        <v>2279519.5653901957</v>
      </c>
      <c r="AO54" s="100"/>
      <c r="AP54" s="100"/>
      <c r="AQ54" s="100"/>
      <c r="AR54" s="100"/>
      <c r="AS54" s="100"/>
      <c r="AT54" s="98"/>
    </row>
    <row r="55" spans="1:46" ht="13" customHeight="1" x14ac:dyDescent="0.15">
      <c r="A55" s="219"/>
      <c r="B55" s="520"/>
      <c r="C55" s="525"/>
      <c r="D55" s="526"/>
      <c r="E55" s="377"/>
      <c r="F55" s="378"/>
      <c r="G55" s="224"/>
      <c r="H55" s="224"/>
      <c r="I55" s="224"/>
      <c r="J55" s="224"/>
      <c r="K55" s="224"/>
      <c r="L55" s="224"/>
      <c r="M55" s="224"/>
      <c r="N55" s="224"/>
      <c r="O55" s="379"/>
      <c r="P55" s="37"/>
      <c r="Q55" s="213"/>
      <c r="R55" s="214"/>
      <c r="S55" s="143"/>
      <c r="T55" s="143"/>
      <c r="U55" s="143"/>
      <c r="V55" s="143"/>
      <c r="W55" s="143"/>
      <c r="X55" s="143"/>
      <c r="Y55" s="143"/>
      <c r="Z55" s="143"/>
      <c r="AA55" s="143"/>
      <c r="AB55" s="549" t="s">
        <v>102</v>
      </c>
      <c r="AC55" s="440" t="s">
        <v>122</v>
      </c>
      <c r="AD55" s="148">
        <f t="shared" ref="AD55:AN58" si="31">+E31*$E17*(1+$E$24)^AD$39</f>
        <v>50000</v>
      </c>
      <c r="AE55" s="148">
        <f t="shared" si="31"/>
        <v>255000</v>
      </c>
      <c r="AF55" s="148">
        <f t="shared" si="31"/>
        <v>520200</v>
      </c>
      <c r="AG55" s="148">
        <f t="shared" si="31"/>
        <v>583664.39999999991</v>
      </c>
      <c r="AH55" s="148">
        <f t="shared" si="31"/>
        <v>622398.49199999997</v>
      </c>
      <c r="AI55" s="148">
        <f t="shared" si="31"/>
        <v>717652.52208000002</v>
      </c>
      <c r="AJ55" s="148">
        <f t="shared" si="31"/>
        <v>844621.81444800005</v>
      </c>
      <c r="AK55" s="148">
        <f t="shared" si="31"/>
        <v>775362.82566326391</v>
      </c>
      <c r="AL55" s="148">
        <f t="shared" si="31"/>
        <v>761578.59765147255</v>
      </c>
      <c r="AM55" s="148">
        <f t="shared" si="31"/>
        <v>717055.5411733865</v>
      </c>
      <c r="AN55" s="149">
        <f t="shared" si="31"/>
        <v>670446.93099711637</v>
      </c>
      <c r="AO55" s="100"/>
      <c r="AP55" s="100"/>
      <c r="AQ55" s="100"/>
      <c r="AR55" s="100"/>
      <c r="AS55" s="100"/>
      <c r="AT55" s="98"/>
    </row>
    <row r="56" spans="1:46" ht="12.75" customHeight="1" x14ac:dyDescent="0.15">
      <c r="A56" s="219"/>
      <c r="B56" s="520"/>
      <c r="C56" s="525"/>
      <c r="D56" s="526"/>
      <c r="E56" s="377"/>
      <c r="F56" s="378"/>
      <c r="G56" s="224"/>
      <c r="H56" s="224"/>
      <c r="I56" s="224"/>
      <c r="J56" s="224"/>
      <c r="K56" s="224"/>
      <c r="L56" s="224"/>
      <c r="M56" s="224"/>
      <c r="N56" s="224"/>
      <c r="O56" s="379"/>
      <c r="P56" s="37"/>
      <c r="Q56" s="213"/>
      <c r="R56" s="214"/>
      <c r="S56" s="143"/>
      <c r="T56" s="143"/>
      <c r="U56" s="143"/>
      <c r="V56" s="143"/>
      <c r="W56" s="100"/>
      <c r="X56" s="100"/>
      <c r="Y56" s="100"/>
      <c r="Z56" s="100"/>
      <c r="AA56" s="143"/>
      <c r="AB56" s="550"/>
      <c r="AC56" s="441" t="s">
        <v>123</v>
      </c>
      <c r="AD56" s="150">
        <f t="shared" si="31"/>
        <v>0</v>
      </c>
      <c r="AE56" s="150">
        <f t="shared" si="31"/>
        <v>0</v>
      </c>
      <c r="AF56" s="150">
        <f t="shared" si="31"/>
        <v>0</v>
      </c>
      <c r="AG56" s="150">
        <f t="shared" si="31"/>
        <v>0</v>
      </c>
      <c r="AH56" s="150">
        <f t="shared" si="31"/>
        <v>0</v>
      </c>
      <c r="AI56" s="150">
        <f t="shared" si="31"/>
        <v>0</v>
      </c>
      <c r="AJ56" s="150">
        <f t="shared" si="31"/>
        <v>0</v>
      </c>
      <c r="AK56" s="150">
        <f t="shared" si="31"/>
        <v>0</v>
      </c>
      <c r="AL56" s="150">
        <f t="shared" si="31"/>
        <v>0</v>
      </c>
      <c r="AM56" s="150">
        <f t="shared" si="31"/>
        <v>0</v>
      </c>
      <c r="AN56" s="151">
        <f t="shared" si="31"/>
        <v>0</v>
      </c>
      <c r="AO56" s="100"/>
      <c r="AP56" s="100"/>
      <c r="AQ56" s="100"/>
      <c r="AR56" s="100"/>
      <c r="AS56" s="100"/>
      <c r="AT56" s="98"/>
    </row>
    <row r="57" spans="1:46" ht="12.75" customHeight="1" thickBot="1" x14ac:dyDescent="0.2">
      <c r="A57" s="219"/>
      <c r="B57" s="521"/>
      <c r="C57" s="527"/>
      <c r="D57" s="528"/>
      <c r="E57" s="276">
        <f>I.InputData!E53</f>
        <v>0</v>
      </c>
      <c r="F57" s="276">
        <f>I.InputData!F53</f>
        <v>1</v>
      </c>
      <c r="G57" s="276">
        <f>I.InputData!G53</f>
        <v>2</v>
      </c>
      <c r="H57" s="276">
        <f>I.InputData!H53</f>
        <v>3</v>
      </c>
      <c r="I57" s="276">
        <f>I.InputData!I53</f>
        <v>4</v>
      </c>
      <c r="J57" s="276">
        <f>I.InputData!J53</f>
        <v>5</v>
      </c>
      <c r="K57" s="276">
        <f>I.InputData!K53</f>
        <v>6</v>
      </c>
      <c r="L57" s="276">
        <f>I.InputData!L53</f>
        <v>7</v>
      </c>
      <c r="M57" s="276">
        <f>I.InputData!M53</f>
        <v>8</v>
      </c>
      <c r="N57" s="276">
        <f>I.InputData!N53</f>
        <v>9</v>
      </c>
      <c r="O57" s="277">
        <f>I.InputData!O53</f>
        <v>10</v>
      </c>
      <c r="P57" s="37"/>
      <c r="Q57" s="213"/>
      <c r="R57" s="214"/>
      <c r="S57" s="143"/>
      <c r="T57" s="143"/>
      <c r="U57" s="143"/>
      <c r="V57" s="143"/>
      <c r="W57" s="100"/>
      <c r="X57" s="100"/>
      <c r="Y57" s="100"/>
      <c r="Z57" s="100"/>
      <c r="AA57" s="143"/>
      <c r="AB57" s="550"/>
      <c r="AC57" s="441" t="s">
        <v>124</v>
      </c>
      <c r="AD57" s="150">
        <f t="shared" si="31"/>
        <v>0</v>
      </c>
      <c r="AE57" s="150">
        <f t="shared" si="31"/>
        <v>0</v>
      </c>
      <c r="AF57" s="150">
        <f t="shared" si="31"/>
        <v>0</v>
      </c>
      <c r="AG57" s="150">
        <f t="shared" si="31"/>
        <v>0</v>
      </c>
      <c r="AH57" s="150">
        <f t="shared" si="31"/>
        <v>0</v>
      </c>
      <c r="AI57" s="150">
        <f t="shared" si="31"/>
        <v>0</v>
      </c>
      <c r="AJ57" s="150">
        <f t="shared" si="31"/>
        <v>0</v>
      </c>
      <c r="AK57" s="150">
        <f t="shared" si="31"/>
        <v>0</v>
      </c>
      <c r="AL57" s="150">
        <f t="shared" si="31"/>
        <v>0</v>
      </c>
      <c r="AM57" s="150">
        <f t="shared" si="31"/>
        <v>0</v>
      </c>
      <c r="AN57" s="151">
        <f t="shared" si="31"/>
        <v>0</v>
      </c>
      <c r="AO57" s="100"/>
      <c r="AP57" s="100"/>
      <c r="AQ57" s="100"/>
      <c r="AR57" s="100"/>
      <c r="AS57" s="100"/>
      <c r="AT57" s="98"/>
    </row>
    <row r="58" spans="1:46" ht="12.75" customHeight="1" x14ac:dyDescent="0.15">
      <c r="A58" s="219"/>
      <c r="B58" s="521"/>
      <c r="C58" s="515" t="str">
        <f>I.InputData!C54</f>
        <v>Investment Lifetime (years)</v>
      </c>
      <c r="D58" s="529"/>
      <c r="E58" s="284">
        <f>I.InputData!E54</f>
        <v>5</v>
      </c>
      <c r="F58" s="285"/>
      <c r="G58" s="285"/>
      <c r="H58" s="285"/>
      <c r="I58" s="285"/>
      <c r="J58" s="285"/>
      <c r="K58" s="285"/>
      <c r="L58" s="285"/>
      <c r="M58" s="285"/>
      <c r="N58" s="285"/>
      <c r="O58" s="286"/>
      <c r="P58" s="37"/>
      <c r="Q58" s="213"/>
      <c r="R58" s="214"/>
      <c r="S58" s="143"/>
      <c r="T58" s="143"/>
      <c r="U58" s="143"/>
      <c r="V58" s="143"/>
      <c r="W58" s="100"/>
      <c r="X58" s="100"/>
      <c r="Y58" s="100"/>
      <c r="Z58" s="100"/>
      <c r="AA58" s="143"/>
      <c r="AB58" s="550"/>
      <c r="AC58" s="441" t="s">
        <v>158</v>
      </c>
      <c r="AD58" s="150">
        <f t="shared" si="31"/>
        <v>0</v>
      </c>
      <c r="AE58" s="150">
        <f t="shared" si="31"/>
        <v>0</v>
      </c>
      <c r="AF58" s="150">
        <f t="shared" si="31"/>
        <v>0</v>
      </c>
      <c r="AG58" s="150">
        <f t="shared" si="31"/>
        <v>0</v>
      </c>
      <c r="AH58" s="150">
        <f t="shared" si="31"/>
        <v>0</v>
      </c>
      <c r="AI58" s="150">
        <f t="shared" si="31"/>
        <v>0</v>
      </c>
      <c r="AJ58" s="150">
        <f t="shared" si="31"/>
        <v>0</v>
      </c>
      <c r="AK58" s="150">
        <f t="shared" si="31"/>
        <v>0</v>
      </c>
      <c r="AL58" s="150">
        <f t="shared" si="31"/>
        <v>0</v>
      </c>
      <c r="AM58" s="150">
        <f t="shared" si="31"/>
        <v>0</v>
      </c>
      <c r="AN58" s="151">
        <f t="shared" si="31"/>
        <v>0</v>
      </c>
      <c r="AO58" s="100"/>
      <c r="AP58" s="100"/>
      <c r="AQ58" s="100"/>
      <c r="AR58" s="100"/>
      <c r="AS58" s="100"/>
      <c r="AT58" s="98"/>
    </row>
    <row r="59" spans="1:46" x14ac:dyDescent="0.15">
      <c r="A59" s="219"/>
      <c r="B59" s="521"/>
      <c r="C59" s="530" t="str">
        <f>I.InputData!C55</f>
        <v>Investment N.1</v>
      </c>
      <c r="D59" s="531"/>
      <c r="E59" s="287">
        <f>I.InputData!E55</f>
        <v>0</v>
      </c>
      <c r="F59" s="287">
        <f>I.InputData!F55</f>
        <v>20000</v>
      </c>
      <c r="G59" s="287">
        <f>I.InputData!G55</f>
        <v>0</v>
      </c>
      <c r="H59" s="287">
        <f>I.InputData!H55</f>
        <v>0</v>
      </c>
      <c r="I59" s="287">
        <f>I.InputData!I55</f>
        <v>0</v>
      </c>
      <c r="J59" s="287">
        <f>I.InputData!J55</f>
        <v>0</v>
      </c>
      <c r="K59" s="287">
        <f>I.InputData!K55</f>
        <v>0</v>
      </c>
      <c r="L59" s="287">
        <f>I.InputData!L55</f>
        <v>0</v>
      </c>
      <c r="M59" s="287">
        <f>I.InputData!M55</f>
        <v>0</v>
      </c>
      <c r="N59" s="287">
        <f>I.InputData!N55</f>
        <v>0</v>
      </c>
      <c r="O59" s="288">
        <f>I.InputData!O55</f>
        <v>0</v>
      </c>
      <c r="P59" s="37"/>
      <c r="Q59" s="213"/>
      <c r="R59" s="214"/>
      <c r="S59" s="100"/>
      <c r="T59" s="100"/>
      <c r="U59" s="100"/>
      <c r="V59" s="100"/>
      <c r="W59" s="100"/>
      <c r="X59" s="100"/>
      <c r="Y59" s="100"/>
      <c r="Z59" s="100"/>
      <c r="AA59" s="100"/>
      <c r="AB59" s="550"/>
      <c r="AC59" s="441" t="s">
        <v>159</v>
      </c>
      <c r="AD59" s="150">
        <f t="shared" ref="AD59:AN59" si="32">+E35*$E21*(1+$E$24)^AD$39</f>
        <v>0</v>
      </c>
      <c r="AE59" s="150">
        <f t="shared" si="32"/>
        <v>0</v>
      </c>
      <c r="AF59" s="150">
        <f t="shared" si="32"/>
        <v>0</v>
      </c>
      <c r="AG59" s="150">
        <f t="shared" si="32"/>
        <v>0</v>
      </c>
      <c r="AH59" s="150">
        <f t="shared" si="32"/>
        <v>0</v>
      </c>
      <c r="AI59" s="150">
        <f t="shared" si="32"/>
        <v>0</v>
      </c>
      <c r="AJ59" s="150">
        <f t="shared" si="32"/>
        <v>0</v>
      </c>
      <c r="AK59" s="150">
        <f t="shared" si="32"/>
        <v>0</v>
      </c>
      <c r="AL59" s="150">
        <f t="shared" si="32"/>
        <v>0</v>
      </c>
      <c r="AM59" s="150">
        <f t="shared" si="32"/>
        <v>0</v>
      </c>
      <c r="AN59" s="151">
        <f t="shared" si="32"/>
        <v>0</v>
      </c>
      <c r="AO59" s="100"/>
      <c r="AP59" s="100"/>
      <c r="AQ59" s="100"/>
      <c r="AR59" s="100"/>
      <c r="AS59" s="100"/>
      <c r="AT59" s="98"/>
    </row>
    <row r="60" spans="1:46" ht="14" thickBot="1" x14ac:dyDescent="0.2">
      <c r="A60" s="219"/>
      <c r="B60" s="521"/>
      <c r="C60" s="532" t="str">
        <f>I.InputData!C56</f>
        <v>Investment N.2</v>
      </c>
      <c r="D60" s="533"/>
      <c r="E60" s="289">
        <f>I.InputData!E56</f>
        <v>0</v>
      </c>
      <c r="F60" s="289">
        <f>I.InputData!F56</f>
        <v>0</v>
      </c>
      <c r="G60" s="289">
        <f>I.InputData!G56</f>
        <v>0</v>
      </c>
      <c r="H60" s="289">
        <f>I.InputData!H56</f>
        <v>0</v>
      </c>
      <c r="I60" s="289">
        <f>I.InputData!I56</f>
        <v>0</v>
      </c>
      <c r="J60" s="289">
        <f>I.InputData!J56</f>
        <v>0</v>
      </c>
      <c r="K60" s="289">
        <f>I.InputData!K56</f>
        <v>0</v>
      </c>
      <c r="L60" s="289">
        <f>I.InputData!L56</f>
        <v>0</v>
      </c>
      <c r="M60" s="289">
        <f>I.InputData!M56</f>
        <v>0</v>
      </c>
      <c r="N60" s="289">
        <f>I.InputData!N56</f>
        <v>0</v>
      </c>
      <c r="O60" s="290">
        <f>I.InputData!O56</f>
        <v>0</v>
      </c>
      <c r="P60" s="37"/>
      <c r="Q60" s="213"/>
      <c r="AB60" s="550"/>
      <c r="AC60" s="441" t="s">
        <v>168</v>
      </c>
      <c r="AD60" s="150">
        <f t="shared" ref="AD60:AN60" si="33">+E36*$E22*(1+$E$24)^AD$39</f>
        <v>0</v>
      </c>
      <c r="AE60" s="150">
        <f t="shared" si="33"/>
        <v>0</v>
      </c>
      <c r="AF60" s="150">
        <f t="shared" si="33"/>
        <v>0</v>
      </c>
      <c r="AG60" s="150">
        <f t="shared" si="33"/>
        <v>0</v>
      </c>
      <c r="AH60" s="150">
        <f t="shared" si="33"/>
        <v>0</v>
      </c>
      <c r="AI60" s="150">
        <f t="shared" si="33"/>
        <v>0</v>
      </c>
      <c r="AJ60" s="150">
        <f t="shared" si="33"/>
        <v>0</v>
      </c>
      <c r="AK60" s="150">
        <f t="shared" si="33"/>
        <v>0</v>
      </c>
      <c r="AL60" s="150">
        <f t="shared" si="33"/>
        <v>0</v>
      </c>
      <c r="AM60" s="150">
        <f t="shared" si="33"/>
        <v>0</v>
      </c>
      <c r="AN60" s="151">
        <f t="shared" si="33"/>
        <v>0</v>
      </c>
      <c r="AT60" s="98"/>
    </row>
    <row r="61" spans="1:46" ht="14" customHeight="1" x14ac:dyDescent="0.15">
      <c r="A61" s="219"/>
      <c r="B61" s="521"/>
      <c r="C61" s="380"/>
      <c r="D61" s="381"/>
      <c r="E61" s="382"/>
      <c r="F61" s="383"/>
      <c r="G61" s="383"/>
      <c r="H61" s="383"/>
      <c r="I61" s="383"/>
      <c r="J61" s="383"/>
      <c r="K61" s="383"/>
      <c r="L61" s="383"/>
      <c r="M61" s="383"/>
      <c r="N61" s="383"/>
      <c r="O61" s="384"/>
      <c r="P61" s="37"/>
      <c r="Q61" s="213"/>
      <c r="AB61" s="550"/>
      <c r="AC61" s="441" t="s">
        <v>169</v>
      </c>
      <c r="AD61" s="150">
        <f t="shared" ref="AD61:AN61" si="34">+E37*$E23*(1+$E$24)^AD$39</f>
        <v>0</v>
      </c>
      <c r="AE61" s="150">
        <f t="shared" si="34"/>
        <v>0</v>
      </c>
      <c r="AF61" s="150">
        <f t="shared" si="34"/>
        <v>0</v>
      </c>
      <c r="AG61" s="150">
        <f t="shared" si="34"/>
        <v>0</v>
      </c>
      <c r="AH61" s="150">
        <f t="shared" si="34"/>
        <v>0</v>
      </c>
      <c r="AI61" s="150">
        <f t="shared" si="34"/>
        <v>0</v>
      </c>
      <c r="AJ61" s="150">
        <f t="shared" si="34"/>
        <v>0</v>
      </c>
      <c r="AK61" s="150">
        <f t="shared" si="34"/>
        <v>0</v>
      </c>
      <c r="AL61" s="150">
        <f t="shared" si="34"/>
        <v>0</v>
      </c>
      <c r="AM61" s="150">
        <f t="shared" si="34"/>
        <v>0</v>
      </c>
      <c r="AN61" s="151">
        <f t="shared" si="34"/>
        <v>0</v>
      </c>
      <c r="AT61" s="98"/>
    </row>
    <row r="62" spans="1:46" x14ac:dyDescent="0.15">
      <c r="A62" s="219"/>
      <c r="B62" s="521"/>
      <c r="C62" s="380"/>
      <c r="D62" s="381"/>
      <c r="E62" s="382"/>
      <c r="F62" s="383"/>
      <c r="G62" s="383"/>
      <c r="H62" s="383"/>
      <c r="I62" s="383"/>
      <c r="J62" s="383"/>
      <c r="K62" s="383"/>
      <c r="L62" s="383"/>
      <c r="M62" s="383"/>
      <c r="N62" s="383"/>
      <c r="O62" s="384"/>
      <c r="P62" s="37"/>
      <c r="Q62" s="213"/>
      <c r="R62" s="214"/>
      <c r="S62" s="100"/>
      <c r="T62" s="100"/>
      <c r="U62" s="100"/>
      <c r="V62" s="100"/>
      <c r="W62" s="100"/>
      <c r="X62" s="100"/>
      <c r="Y62" s="100"/>
      <c r="Z62" s="100"/>
      <c r="AA62" s="100"/>
      <c r="AB62" s="551"/>
      <c r="AC62" s="441" t="s">
        <v>6</v>
      </c>
      <c r="AD62" s="152">
        <f>+SUM(AD55:AD61)</f>
        <v>50000</v>
      </c>
      <c r="AE62" s="152">
        <f>+SUM(AE55:AE61)</f>
        <v>255000</v>
      </c>
      <c r="AF62" s="152">
        <f t="shared" ref="AF62:AM62" si="35">+SUM(AF55:AF61)</f>
        <v>520200</v>
      </c>
      <c r="AG62" s="152">
        <f t="shared" si="35"/>
        <v>583664.39999999991</v>
      </c>
      <c r="AH62" s="152">
        <f t="shared" si="35"/>
        <v>622398.49199999997</v>
      </c>
      <c r="AI62" s="152">
        <f t="shared" si="35"/>
        <v>717652.52208000002</v>
      </c>
      <c r="AJ62" s="152">
        <f t="shared" si="35"/>
        <v>844621.81444800005</v>
      </c>
      <c r="AK62" s="152">
        <f t="shared" si="35"/>
        <v>775362.82566326391</v>
      </c>
      <c r="AL62" s="152">
        <f>+SUM(AL55:AL61)</f>
        <v>761578.59765147255</v>
      </c>
      <c r="AM62" s="152">
        <f t="shared" si="35"/>
        <v>717055.5411733865</v>
      </c>
      <c r="AN62" s="153">
        <f>+SUM(AN55:AN61)</f>
        <v>670446.93099711637</v>
      </c>
      <c r="AO62" s="100"/>
      <c r="AP62" s="100"/>
      <c r="AQ62" s="100"/>
      <c r="AR62" s="100"/>
      <c r="AS62" s="100"/>
      <c r="AT62" s="98"/>
    </row>
    <row r="63" spans="1:46" ht="13" customHeight="1" x14ac:dyDescent="0.15">
      <c r="A63" s="219"/>
      <c r="B63" s="521"/>
      <c r="C63" s="517" t="str">
        <f>I.InputData!C57</f>
        <v>Investment Lifetime (years)</v>
      </c>
      <c r="D63" s="518"/>
      <c r="E63" s="291">
        <f>I.InputData!E57</f>
        <v>7</v>
      </c>
      <c r="F63" s="219"/>
      <c r="G63" s="219"/>
      <c r="H63" s="219"/>
      <c r="I63" s="219"/>
      <c r="J63" s="219"/>
      <c r="K63" s="219"/>
      <c r="L63" s="219"/>
      <c r="M63" s="219"/>
      <c r="N63" s="219"/>
      <c r="O63" s="292"/>
      <c r="P63" s="37"/>
      <c r="Q63" s="213"/>
      <c r="R63" s="214"/>
      <c r="S63" s="100"/>
      <c r="T63" s="100"/>
      <c r="U63" s="100"/>
      <c r="V63" s="100"/>
      <c r="W63" s="100"/>
      <c r="X63" s="100"/>
      <c r="Y63" s="100"/>
      <c r="Z63" s="100"/>
      <c r="AA63" s="100"/>
      <c r="AB63" s="549" t="s">
        <v>103</v>
      </c>
      <c r="AC63" s="440" t="s">
        <v>122</v>
      </c>
      <c r="AD63" s="148">
        <f t="shared" ref="AD63:AN63" si="36">+AD40*$F17*(1+$F$24)^AD$39</f>
        <v>25000</v>
      </c>
      <c r="AE63" s="148">
        <f t="shared" si="36"/>
        <v>150450</v>
      </c>
      <c r="AF63" s="148">
        <f t="shared" si="36"/>
        <v>398213.1</v>
      </c>
      <c r="AG63" s="148">
        <f t="shared" si="36"/>
        <v>657391.82579999999</v>
      </c>
      <c r="AH63" s="148">
        <f t="shared" si="36"/>
        <v>914684.94208439987</v>
      </c>
      <c r="AI63" s="148">
        <f t="shared" si="36"/>
        <v>1198507.0378734793</v>
      </c>
      <c r="AJ63" s="148">
        <f t="shared" si="36"/>
        <v>1522540.367991854</v>
      </c>
      <c r="AK63" s="148">
        <f t="shared" si="36"/>
        <v>1785373.4706481535</v>
      </c>
      <c r="AL63" s="148">
        <f t="shared" si="36"/>
        <v>2019762.1448807414</v>
      </c>
      <c r="AM63" s="148">
        <f t="shared" si="36"/>
        <v>2212669.419587214</v>
      </c>
      <c r="AN63" s="149">
        <f t="shared" si="36"/>
        <v>2366453.9926796211</v>
      </c>
      <c r="AO63" s="100"/>
      <c r="AP63" s="100"/>
      <c r="AQ63" s="100"/>
      <c r="AR63" s="100"/>
      <c r="AS63" s="100"/>
      <c r="AT63" s="98"/>
    </row>
    <row r="64" spans="1:46" x14ac:dyDescent="0.15">
      <c r="A64" s="219"/>
      <c r="B64" s="521"/>
      <c r="C64" s="530" t="str">
        <f>I.InputData!C58</f>
        <v>Investment N.3</v>
      </c>
      <c r="D64" s="531"/>
      <c r="E64" s="287">
        <f>I.InputData!E58</f>
        <v>0</v>
      </c>
      <c r="F64" s="287">
        <f>I.InputData!F58</f>
        <v>0</v>
      </c>
      <c r="G64" s="287">
        <f>I.InputData!G58</f>
        <v>0</v>
      </c>
      <c r="H64" s="287">
        <f>I.InputData!H58</f>
        <v>0</v>
      </c>
      <c r="I64" s="287">
        <f>I.InputData!I58</f>
        <v>0</v>
      </c>
      <c r="J64" s="287">
        <f>I.InputData!J58</f>
        <v>0</v>
      </c>
      <c r="K64" s="287">
        <f>I.InputData!K58</f>
        <v>0</v>
      </c>
      <c r="L64" s="287">
        <f>I.InputData!L58</f>
        <v>0</v>
      </c>
      <c r="M64" s="287">
        <f>I.InputData!M58</f>
        <v>0</v>
      </c>
      <c r="N64" s="287">
        <f>I.InputData!N58</f>
        <v>0</v>
      </c>
      <c r="O64" s="288">
        <f>I.InputData!O58</f>
        <v>0</v>
      </c>
      <c r="P64" s="37"/>
      <c r="Q64" s="213"/>
      <c r="R64" s="214"/>
      <c r="S64" s="100"/>
      <c r="T64" s="100"/>
      <c r="U64" s="100"/>
      <c r="V64" s="100"/>
      <c r="W64" s="100"/>
      <c r="X64" s="100"/>
      <c r="Y64" s="100"/>
      <c r="Z64" s="100"/>
      <c r="AA64" s="100"/>
      <c r="AB64" s="550"/>
      <c r="AC64" s="441" t="s">
        <v>123</v>
      </c>
      <c r="AD64" s="150">
        <f t="shared" ref="AD64:AN64" si="37">+AD41*$F18*(1+$F$24)^AD$39</f>
        <v>0</v>
      </c>
      <c r="AE64" s="150">
        <f t="shared" si="37"/>
        <v>0</v>
      </c>
      <c r="AF64" s="150">
        <f t="shared" si="37"/>
        <v>0</v>
      </c>
      <c r="AG64" s="150">
        <f t="shared" si="37"/>
        <v>0</v>
      </c>
      <c r="AH64" s="150">
        <f t="shared" si="37"/>
        <v>0</v>
      </c>
      <c r="AI64" s="150">
        <f t="shared" si="37"/>
        <v>0</v>
      </c>
      <c r="AJ64" s="150">
        <f t="shared" si="37"/>
        <v>0</v>
      </c>
      <c r="AK64" s="150">
        <f t="shared" si="37"/>
        <v>0</v>
      </c>
      <c r="AL64" s="150">
        <f t="shared" si="37"/>
        <v>0</v>
      </c>
      <c r="AM64" s="150">
        <f t="shared" si="37"/>
        <v>0</v>
      </c>
      <c r="AN64" s="151">
        <f t="shared" si="37"/>
        <v>0</v>
      </c>
      <c r="AO64" s="100"/>
      <c r="AP64" s="100"/>
      <c r="AQ64" s="100"/>
      <c r="AR64" s="100"/>
      <c r="AS64" s="100"/>
      <c r="AT64" s="98"/>
    </row>
    <row r="65" spans="1:46" ht="12.75" customHeight="1" thickBot="1" x14ac:dyDescent="0.2">
      <c r="A65" s="219"/>
      <c r="B65" s="522"/>
      <c r="C65" s="532" t="str">
        <f>I.InputData!C59</f>
        <v>Investment N.4</v>
      </c>
      <c r="D65" s="533"/>
      <c r="E65" s="289">
        <f>I.InputData!E59</f>
        <v>0</v>
      </c>
      <c r="F65" s="289">
        <f>I.InputData!F59</f>
        <v>0</v>
      </c>
      <c r="G65" s="289">
        <f>I.InputData!G59</f>
        <v>0</v>
      </c>
      <c r="H65" s="289">
        <f>I.InputData!H59</f>
        <v>0</v>
      </c>
      <c r="I65" s="289">
        <f>I.InputData!I59</f>
        <v>0</v>
      </c>
      <c r="J65" s="289">
        <f>I.InputData!J59</f>
        <v>0</v>
      </c>
      <c r="K65" s="289">
        <f>I.InputData!K59</f>
        <v>0</v>
      </c>
      <c r="L65" s="289">
        <f>I.InputData!L59</f>
        <v>0</v>
      </c>
      <c r="M65" s="289">
        <f>I.InputData!M59</f>
        <v>0</v>
      </c>
      <c r="N65" s="289">
        <f>I.InputData!N59</f>
        <v>0</v>
      </c>
      <c r="O65" s="290">
        <f>I.InputData!O59</f>
        <v>0</v>
      </c>
      <c r="P65" s="37"/>
      <c r="Q65" s="213"/>
      <c r="R65" s="214"/>
      <c r="S65" s="100"/>
      <c r="T65" s="100"/>
      <c r="U65" s="100"/>
      <c r="V65" s="100"/>
      <c r="W65" s="100"/>
      <c r="X65" s="100"/>
      <c r="Y65" s="100"/>
      <c r="Z65" s="100"/>
      <c r="AA65" s="100"/>
      <c r="AB65" s="550"/>
      <c r="AC65" s="441" t="s">
        <v>124</v>
      </c>
      <c r="AD65" s="150">
        <f t="shared" ref="AD65:AN65" si="38">+AD42*$F19*(1+$F$24)^AD$39</f>
        <v>0</v>
      </c>
      <c r="AE65" s="150">
        <f t="shared" si="38"/>
        <v>0</v>
      </c>
      <c r="AF65" s="150">
        <f t="shared" si="38"/>
        <v>0</v>
      </c>
      <c r="AG65" s="150">
        <f t="shared" si="38"/>
        <v>0</v>
      </c>
      <c r="AH65" s="150">
        <f t="shared" si="38"/>
        <v>0</v>
      </c>
      <c r="AI65" s="150">
        <f t="shared" si="38"/>
        <v>0</v>
      </c>
      <c r="AJ65" s="150">
        <f t="shared" si="38"/>
        <v>0</v>
      </c>
      <c r="AK65" s="150">
        <f t="shared" si="38"/>
        <v>0</v>
      </c>
      <c r="AL65" s="150">
        <f t="shared" si="38"/>
        <v>0</v>
      </c>
      <c r="AM65" s="150">
        <f t="shared" si="38"/>
        <v>0</v>
      </c>
      <c r="AN65" s="151">
        <f t="shared" si="38"/>
        <v>0</v>
      </c>
      <c r="AO65" s="100"/>
      <c r="AP65" s="100"/>
      <c r="AQ65" s="100"/>
      <c r="AR65" s="100"/>
      <c r="AS65" s="100"/>
      <c r="AT65" s="98"/>
    </row>
    <row r="66" spans="1:46" x14ac:dyDescent="0.15">
      <c r="A66" s="219"/>
      <c r="B66" s="219"/>
      <c r="C66" s="219"/>
      <c r="D66" s="219"/>
      <c r="E66" s="219"/>
      <c r="F66" s="219"/>
      <c r="G66" s="219"/>
      <c r="H66" s="219"/>
      <c r="I66" s="219"/>
      <c r="J66" s="219"/>
      <c r="K66" s="219"/>
      <c r="L66" s="219"/>
      <c r="M66" s="219"/>
      <c r="N66" s="219"/>
      <c r="O66" s="219"/>
      <c r="P66" s="37"/>
      <c r="Q66" s="213"/>
      <c r="R66" s="214"/>
      <c r="S66" s="100"/>
      <c r="T66" s="100"/>
      <c r="U66" s="100"/>
      <c r="V66" s="100"/>
      <c r="W66" s="100"/>
      <c r="X66" s="100"/>
      <c r="Y66" s="100"/>
      <c r="Z66" s="100"/>
      <c r="AA66" s="100"/>
      <c r="AB66" s="550"/>
      <c r="AC66" s="441" t="s">
        <v>158</v>
      </c>
      <c r="AD66" s="150">
        <f t="shared" ref="AD66:AN66" si="39">+AD43*$F20*(1+$F$24)^AD$39</f>
        <v>0</v>
      </c>
      <c r="AE66" s="150">
        <f t="shared" si="39"/>
        <v>0</v>
      </c>
      <c r="AF66" s="150">
        <f t="shared" si="39"/>
        <v>0</v>
      </c>
      <c r="AG66" s="150">
        <f t="shared" si="39"/>
        <v>0</v>
      </c>
      <c r="AH66" s="150">
        <f t="shared" si="39"/>
        <v>0</v>
      </c>
      <c r="AI66" s="150">
        <f t="shared" si="39"/>
        <v>0</v>
      </c>
      <c r="AJ66" s="150">
        <f t="shared" si="39"/>
        <v>0</v>
      </c>
      <c r="AK66" s="150">
        <f t="shared" si="39"/>
        <v>0</v>
      </c>
      <c r="AL66" s="150">
        <f t="shared" si="39"/>
        <v>0</v>
      </c>
      <c r="AM66" s="150">
        <f t="shared" si="39"/>
        <v>0</v>
      </c>
      <c r="AN66" s="151">
        <f t="shared" si="39"/>
        <v>0</v>
      </c>
      <c r="AO66" s="100"/>
      <c r="AP66" s="100"/>
      <c r="AQ66" s="100"/>
      <c r="AR66" s="100"/>
      <c r="AS66" s="100"/>
      <c r="AT66" s="98"/>
    </row>
    <row r="67" spans="1:46" ht="13" customHeight="1" x14ac:dyDescent="0.15">
      <c r="A67" s="219"/>
      <c r="B67" s="219"/>
      <c r="C67" s="219"/>
      <c r="D67" s="219"/>
      <c r="E67" s="219"/>
      <c r="F67" s="219"/>
      <c r="G67" s="219"/>
      <c r="H67" s="219"/>
      <c r="I67" s="219"/>
      <c r="J67" s="219"/>
      <c r="K67" s="219"/>
      <c r="L67" s="219"/>
      <c r="M67" s="219"/>
      <c r="N67" s="219"/>
      <c r="O67" s="219"/>
      <c r="P67" s="37"/>
      <c r="Q67" s="213"/>
      <c r="R67" s="214"/>
      <c r="S67" s="100"/>
      <c r="T67" s="100"/>
      <c r="U67" s="100"/>
      <c r="V67" s="100"/>
      <c r="W67" s="100"/>
      <c r="X67" s="100"/>
      <c r="Y67" s="100"/>
      <c r="Z67" s="100"/>
      <c r="AA67" s="100"/>
      <c r="AB67" s="550"/>
      <c r="AC67" s="441" t="s">
        <v>159</v>
      </c>
      <c r="AD67" s="150">
        <f t="shared" ref="AD67:AN67" si="40">+AD44*$F21*(1+$F$24)^AD$39</f>
        <v>0</v>
      </c>
      <c r="AE67" s="150">
        <f t="shared" si="40"/>
        <v>0</v>
      </c>
      <c r="AF67" s="150">
        <f t="shared" si="40"/>
        <v>0</v>
      </c>
      <c r="AG67" s="150">
        <f t="shared" si="40"/>
        <v>0</v>
      </c>
      <c r="AH67" s="150">
        <f t="shared" si="40"/>
        <v>0</v>
      </c>
      <c r="AI67" s="150">
        <f t="shared" si="40"/>
        <v>0</v>
      </c>
      <c r="AJ67" s="150">
        <f t="shared" si="40"/>
        <v>0</v>
      </c>
      <c r="AK67" s="150">
        <f t="shared" si="40"/>
        <v>0</v>
      </c>
      <c r="AL67" s="150">
        <f t="shared" si="40"/>
        <v>0</v>
      </c>
      <c r="AM67" s="150">
        <f t="shared" si="40"/>
        <v>0</v>
      </c>
      <c r="AN67" s="151">
        <f t="shared" si="40"/>
        <v>0</v>
      </c>
      <c r="AO67" s="100"/>
      <c r="AP67" s="100"/>
      <c r="AQ67" s="100"/>
      <c r="AR67" s="100"/>
      <c r="AS67" s="100"/>
      <c r="AT67" s="98"/>
    </row>
    <row r="68" spans="1:46" x14ac:dyDescent="0.15">
      <c r="A68" s="219"/>
      <c r="B68" s="219"/>
      <c r="C68" s="219"/>
      <c r="D68" s="219"/>
      <c r="E68" s="219"/>
      <c r="F68" s="219"/>
      <c r="G68" s="219"/>
      <c r="H68" s="219"/>
      <c r="I68" s="219"/>
      <c r="J68" s="219"/>
      <c r="K68" s="219"/>
      <c r="L68" s="219"/>
      <c r="M68" s="219"/>
      <c r="N68" s="219"/>
      <c r="O68" s="219"/>
      <c r="P68" s="37"/>
      <c r="Q68" s="213"/>
      <c r="AB68" s="550"/>
      <c r="AC68" s="441" t="s">
        <v>168</v>
      </c>
      <c r="AD68" s="150">
        <f t="shared" ref="AD68:AN68" si="41">+AD45*$F22*(1+$F$24)^AD$39</f>
        <v>0</v>
      </c>
      <c r="AE68" s="150">
        <f t="shared" si="41"/>
        <v>0</v>
      </c>
      <c r="AF68" s="150">
        <f t="shared" si="41"/>
        <v>0</v>
      </c>
      <c r="AG68" s="150">
        <f t="shared" si="41"/>
        <v>0</v>
      </c>
      <c r="AH68" s="150">
        <f t="shared" si="41"/>
        <v>0</v>
      </c>
      <c r="AI68" s="150">
        <f t="shared" si="41"/>
        <v>0</v>
      </c>
      <c r="AJ68" s="150">
        <f t="shared" si="41"/>
        <v>0</v>
      </c>
      <c r="AK68" s="150">
        <f t="shared" si="41"/>
        <v>0</v>
      </c>
      <c r="AL68" s="150">
        <f t="shared" si="41"/>
        <v>0</v>
      </c>
      <c r="AM68" s="150">
        <f t="shared" si="41"/>
        <v>0</v>
      </c>
      <c r="AN68" s="151">
        <f t="shared" si="41"/>
        <v>0</v>
      </c>
      <c r="AT68" s="98"/>
    </row>
    <row r="69" spans="1:46" x14ac:dyDescent="0.15">
      <c r="A69" s="219"/>
      <c r="B69" s="219"/>
      <c r="C69" s="219"/>
      <c r="D69" s="219"/>
      <c r="E69" s="219"/>
      <c r="F69" s="219"/>
      <c r="G69" s="219"/>
      <c r="H69" s="219"/>
      <c r="I69" s="219"/>
      <c r="J69" s="219"/>
      <c r="K69" s="219"/>
      <c r="L69" s="219"/>
      <c r="M69" s="219"/>
      <c r="N69" s="219"/>
      <c r="O69" s="219"/>
      <c r="P69" s="37"/>
      <c r="Q69" s="213"/>
      <c r="AB69" s="550"/>
      <c r="AC69" s="441" t="s">
        <v>169</v>
      </c>
      <c r="AD69" s="150">
        <f t="shared" ref="AD69:AN69" si="42">+AD46*$F23*(1+$F$24)^AD$39</f>
        <v>0</v>
      </c>
      <c r="AE69" s="150">
        <f t="shared" si="42"/>
        <v>0</v>
      </c>
      <c r="AF69" s="150">
        <f>+AF46*$F23*(1+$F$24)^AF$39</f>
        <v>0</v>
      </c>
      <c r="AG69" s="150">
        <f t="shared" si="42"/>
        <v>0</v>
      </c>
      <c r="AH69" s="150">
        <f t="shared" si="42"/>
        <v>0</v>
      </c>
      <c r="AI69" s="150">
        <f t="shared" si="42"/>
        <v>0</v>
      </c>
      <c r="AJ69" s="150">
        <f t="shared" si="42"/>
        <v>0</v>
      </c>
      <c r="AK69" s="150">
        <f t="shared" si="42"/>
        <v>0</v>
      </c>
      <c r="AL69" s="150">
        <f t="shared" si="42"/>
        <v>0</v>
      </c>
      <c r="AM69" s="150">
        <f t="shared" si="42"/>
        <v>0</v>
      </c>
      <c r="AN69" s="151">
        <f t="shared" si="42"/>
        <v>0</v>
      </c>
      <c r="AT69" s="98"/>
    </row>
    <row r="70" spans="1:46" ht="15" x14ac:dyDescent="0.2">
      <c r="A70" s="219"/>
      <c r="B70" s="219"/>
      <c r="C70" s="223" t="str">
        <f>I.InputData!C62</f>
        <v>Table 6. Financial Indicators</v>
      </c>
      <c r="D70" s="219"/>
      <c r="E70" s="219"/>
      <c r="F70" s="219"/>
      <c r="G70" s="219"/>
      <c r="H70" s="219"/>
      <c r="I70" s="219"/>
      <c r="J70" s="219"/>
      <c r="K70" s="219"/>
      <c r="L70" s="219"/>
      <c r="M70" s="219"/>
      <c r="N70" s="219"/>
      <c r="O70" s="219"/>
      <c r="P70" s="37"/>
      <c r="Q70" s="213"/>
      <c r="R70" s="214"/>
      <c r="S70" s="100"/>
      <c r="T70" s="100"/>
      <c r="U70" s="100"/>
      <c r="V70" s="100"/>
      <c r="W70" s="100"/>
      <c r="X70" s="100"/>
      <c r="Y70" s="100"/>
      <c r="Z70" s="100"/>
      <c r="AA70" s="100"/>
      <c r="AB70" s="551"/>
      <c r="AC70" s="442" t="s">
        <v>6</v>
      </c>
      <c r="AD70" s="152">
        <f>+SUM(AD63:AD69)</f>
        <v>25000</v>
      </c>
      <c r="AE70" s="152">
        <f>+SUM(AE63:AE69)</f>
        <v>150450</v>
      </c>
      <c r="AF70" s="152">
        <f t="shared" ref="AF70:AL70" si="43">+SUM(AF63:AF69)</f>
        <v>398213.1</v>
      </c>
      <c r="AG70" s="152">
        <f t="shared" si="43"/>
        <v>657391.82579999999</v>
      </c>
      <c r="AH70" s="152">
        <f t="shared" si="43"/>
        <v>914684.94208439987</v>
      </c>
      <c r="AI70" s="152">
        <f t="shared" si="43"/>
        <v>1198507.0378734793</v>
      </c>
      <c r="AJ70" s="152">
        <f t="shared" si="43"/>
        <v>1522540.367991854</v>
      </c>
      <c r="AK70" s="152">
        <f t="shared" si="43"/>
        <v>1785373.4706481535</v>
      </c>
      <c r="AL70" s="152">
        <f t="shared" si="43"/>
        <v>2019762.1448807414</v>
      </c>
      <c r="AM70" s="152">
        <f>+SUM(AM63:AM69)</f>
        <v>2212669.419587214</v>
      </c>
      <c r="AN70" s="153">
        <f>+SUM(AN63:AN69)</f>
        <v>2366453.9926796211</v>
      </c>
      <c r="AO70" s="100"/>
      <c r="AP70" s="100"/>
      <c r="AQ70" s="100"/>
      <c r="AR70" s="100"/>
      <c r="AS70" s="100"/>
      <c r="AT70" s="98"/>
    </row>
    <row r="71" spans="1:46" ht="12.75" customHeight="1" x14ac:dyDescent="0.15">
      <c r="A71" s="219"/>
      <c r="B71" s="219"/>
      <c r="C71" s="293" t="str">
        <f>I.InputData!C63</f>
        <v xml:space="preserve">Cost of Capital (WACC)  </v>
      </c>
      <c r="D71" s="294">
        <f>I.InputData!D63</f>
        <v>0.1</v>
      </c>
      <c r="E71" s="219"/>
      <c r="F71" s="219"/>
      <c r="G71" s="219"/>
      <c r="H71" s="219"/>
      <c r="I71" s="219"/>
      <c r="J71" s="219"/>
      <c r="K71" s="219"/>
      <c r="L71" s="219"/>
      <c r="M71" s="219"/>
      <c r="N71" s="219"/>
      <c r="O71" s="219"/>
      <c r="P71" s="37"/>
      <c r="Q71" s="213"/>
      <c r="R71" s="214"/>
      <c r="S71" s="100"/>
      <c r="T71" s="100"/>
      <c r="U71" s="100"/>
      <c r="V71" s="100"/>
      <c r="W71" s="100"/>
      <c r="X71" s="100"/>
      <c r="Y71" s="100"/>
      <c r="Z71" s="100"/>
      <c r="AA71" s="100"/>
      <c r="AB71" s="549" t="s">
        <v>105</v>
      </c>
      <c r="AC71" s="440" t="s">
        <v>122</v>
      </c>
      <c r="AD71" s="148">
        <f t="shared" ref="AD71:AN71" si="44">+AD47+AD55+AD63</f>
        <v>245000</v>
      </c>
      <c r="AE71" s="148">
        <f t="shared" si="44"/>
        <v>1272450</v>
      </c>
      <c r="AF71" s="148">
        <f t="shared" si="44"/>
        <v>2687093.1</v>
      </c>
      <c r="AG71" s="148">
        <f t="shared" si="44"/>
        <v>3225515.1858000001</v>
      </c>
      <c r="AH71" s="148">
        <f t="shared" si="44"/>
        <v>3653238.3068844001</v>
      </c>
      <c r="AI71" s="148">
        <f t="shared" si="44"/>
        <v>4356178.1350254789</v>
      </c>
      <c r="AJ71" s="148">
        <f t="shared" si="44"/>
        <v>5238876.3515630541</v>
      </c>
      <c r="AK71" s="148">
        <f t="shared" si="44"/>
        <v>5196969.9035665141</v>
      </c>
      <c r="AL71" s="148">
        <f t="shared" si="44"/>
        <v>5370707.9745472204</v>
      </c>
      <c r="AM71" s="148">
        <f t="shared" si="44"/>
        <v>5367713.800750114</v>
      </c>
      <c r="AN71" s="149">
        <f t="shared" si="44"/>
        <v>5316420.4890669333</v>
      </c>
      <c r="AO71" s="100"/>
      <c r="AP71" s="100"/>
      <c r="AQ71" s="100"/>
      <c r="AR71" s="100"/>
      <c r="AS71" s="100"/>
      <c r="AT71" s="98"/>
    </row>
    <row r="72" spans="1:46" x14ac:dyDescent="0.15">
      <c r="A72" s="219"/>
      <c r="B72" s="219"/>
      <c r="C72" s="293" t="str">
        <f>I.InputData!C64</f>
        <v xml:space="preserve">Corporate Tax Rate  </v>
      </c>
      <c r="D72" s="294">
        <f>I.InputData!D64</f>
        <v>0.25</v>
      </c>
      <c r="E72" s="219"/>
      <c r="F72" s="219"/>
      <c r="G72" s="219"/>
      <c r="H72" s="219"/>
      <c r="I72" s="219"/>
      <c r="J72" s="219"/>
      <c r="K72" s="219"/>
      <c r="L72" s="219"/>
      <c r="M72" s="219"/>
      <c r="N72" s="219"/>
      <c r="O72" s="219"/>
      <c r="P72" s="37"/>
      <c r="Q72" s="213"/>
      <c r="R72" s="214"/>
      <c r="S72" s="100"/>
      <c r="T72" s="100"/>
      <c r="U72" s="100"/>
      <c r="V72" s="100"/>
      <c r="W72" s="100"/>
      <c r="X72" s="100"/>
      <c r="Y72" s="100"/>
      <c r="Z72" s="100"/>
      <c r="AA72" s="100"/>
      <c r="AB72" s="550"/>
      <c r="AC72" s="441" t="s">
        <v>123</v>
      </c>
      <c r="AD72" s="150">
        <f t="shared" ref="AD72:AN72" si="45">+AD48+AD56+AD64</f>
        <v>0</v>
      </c>
      <c r="AE72" s="150">
        <f t="shared" si="45"/>
        <v>0</v>
      </c>
      <c r="AF72" s="150">
        <f t="shared" si="45"/>
        <v>0</v>
      </c>
      <c r="AG72" s="150">
        <f t="shared" si="45"/>
        <v>0</v>
      </c>
      <c r="AH72" s="150">
        <f t="shared" si="45"/>
        <v>0</v>
      </c>
      <c r="AI72" s="150">
        <f t="shared" si="45"/>
        <v>0</v>
      </c>
      <c r="AJ72" s="150">
        <f t="shared" si="45"/>
        <v>0</v>
      </c>
      <c r="AK72" s="150">
        <f t="shared" si="45"/>
        <v>0</v>
      </c>
      <c r="AL72" s="150">
        <f t="shared" si="45"/>
        <v>0</v>
      </c>
      <c r="AM72" s="150">
        <f t="shared" si="45"/>
        <v>0</v>
      </c>
      <c r="AN72" s="151">
        <f t="shared" si="45"/>
        <v>0</v>
      </c>
      <c r="AO72" s="100"/>
      <c r="AP72" s="100"/>
      <c r="AQ72" s="100"/>
      <c r="AR72" s="100"/>
      <c r="AS72" s="100"/>
      <c r="AT72" s="98"/>
    </row>
    <row r="73" spans="1:46" x14ac:dyDescent="0.15">
      <c r="A73" s="219"/>
      <c r="B73" s="219"/>
      <c r="C73" s="385"/>
      <c r="D73" s="385"/>
      <c r="E73" s="219"/>
      <c r="F73" s="219"/>
      <c r="G73" s="219"/>
      <c r="H73" s="219"/>
      <c r="I73" s="219"/>
      <c r="J73" s="219"/>
      <c r="K73" s="219"/>
      <c r="L73" s="219"/>
      <c r="M73" s="219"/>
      <c r="N73" s="219"/>
      <c r="O73" s="219"/>
      <c r="P73" s="37"/>
      <c r="Q73" s="213"/>
      <c r="R73" s="214"/>
      <c r="S73" s="100"/>
      <c r="T73" s="100"/>
      <c r="U73" s="100"/>
      <c r="V73" s="100"/>
      <c r="W73" s="100"/>
      <c r="X73" s="100"/>
      <c r="Y73" s="100"/>
      <c r="Z73" s="100"/>
      <c r="AA73" s="100"/>
      <c r="AB73" s="550"/>
      <c r="AC73" s="441" t="s">
        <v>124</v>
      </c>
      <c r="AD73" s="150">
        <f t="shared" ref="AD73:AN73" si="46">+AD49+AD57+AD65</f>
        <v>0</v>
      </c>
      <c r="AE73" s="150">
        <f t="shared" si="46"/>
        <v>0</v>
      </c>
      <c r="AF73" s="150">
        <f t="shared" si="46"/>
        <v>0</v>
      </c>
      <c r="AG73" s="150">
        <f t="shared" si="46"/>
        <v>0</v>
      </c>
      <c r="AH73" s="150">
        <f t="shared" si="46"/>
        <v>0</v>
      </c>
      <c r="AI73" s="150">
        <f t="shared" si="46"/>
        <v>0</v>
      </c>
      <c r="AJ73" s="150">
        <f t="shared" si="46"/>
        <v>0</v>
      </c>
      <c r="AK73" s="150">
        <f t="shared" si="46"/>
        <v>0</v>
      </c>
      <c r="AL73" s="150">
        <f t="shared" si="46"/>
        <v>0</v>
      </c>
      <c r="AM73" s="150">
        <f t="shared" si="46"/>
        <v>0</v>
      </c>
      <c r="AN73" s="151">
        <f t="shared" si="46"/>
        <v>0</v>
      </c>
      <c r="AO73" s="100"/>
      <c r="AP73" s="100"/>
      <c r="AQ73" s="100"/>
      <c r="AR73" s="100"/>
      <c r="AS73" s="100"/>
      <c r="AT73" s="98"/>
    </row>
    <row r="74" spans="1:46" x14ac:dyDescent="0.15">
      <c r="B74" s="219"/>
      <c r="C74" s="385"/>
      <c r="D74" s="385"/>
      <c r="E74" s="219"/>
      <c r="F74" s="219"/>
      <c r="G74" s="219"/>
      <c r="H74" s="219"/>
      <c r="I74" s="219"/>
      <c r="J74" s="219"/>
      <c r="K74" s="219"/>
      <c r="L74" s="219"/>
      <c r="M74" s="219"/>
      <c r="N74" s="219"/>
      <c r="O74" s="219"/>
      <c r="P74" s="37"/>
      <c r="Q74" s="213"/>
      <c r="R74" s="214"/>
      <c r="S74" s="100"/>
      <c r="T74" s="100"/>
      <c r="U74" s="100"/>
      <c r="V74" s="100"/>
      <c r="W74" s="100"/>
      <c r="X74" s="100"/>
      <c r="Y74" s="100"/>
      <c r="Z74" s="100"/>
      <c r="AA74" s="100"/>
      <c r="AB74" s="550"/>
      <c r="AC74" s="441" t="s">
        <v>158</v>
      </c>
      <c r="AD74" s="150">
        <f t="shared" ref="AD74:AN74" si="47">+AD50+AD58+AD66</f>
        <v>0</v>
      </c>
      <c r="AE74" s="150">
        <f t="shared" si="47"/>
        <v>0</v>
      </c>
      <c r="AF74" s="150">
        <f t="shared" si="47"/>
        <v>0</v>
      </c>
      <c r="AG74" s="150">
        <f t="shared" si="47"/>
        <v>0</v>
      </c>
      <c r="AH74" s="150">
        <f t="shared" si="47"/>
        <v>0</v>
      </c>
      <c r="AI74" s="150">
        <f t="shared" si="47"/>
        <v>0</v>
      </c>
      <c r="AJ74" s="150">
        <f t="shared" si="47"/>
        <v>0</v>
      </c>
      <c r="AK74" s="150">
        <f t="shared" si="47"/>
        <v>0</v>
      </c>
      <c r="AL74" s="150">
        <f t="shared" si="47"/>
        <v>0</v>
      </c>
      <c r="AM74" s="150">
        <f t="shared" si="47"/>
        <v>0</v>
      </c>
      <c r="AN74" s="151">
        <f t="shared" si="47"/>
        <v>0</v>
      </c>
      <c r="AO74" s="100"/>
      <c r="AP74" s="100"/>
      <c r="AQ74" s="100"/>
      <c r="AR74" s="100"/>
      <c r="AS74" s="100"/>
      <c r="AT74" s="98"/>
    </row>
    <row r="75" spans="1:46" ht="14" thickBot="1" x14ac:dyDescent="0.2">
      <c r="A75" s="295"/>
      <c r="B75" s="295"/>
      <c r="C75" s="296"/>
      <c r="D75" s="295"/>
      <c r="E75" s="295"/>
      <c r="F75" s="295"/>
      <c r="G75" s="295"/>
      <c r="H75" s="295"/>
      <c r="I75" s="295"/>
      <c r="J75" s="295"/>
      <c r="K75" s="295"/>
      <c r="L75" s="295"/>
      <c r="M75" s="295"/>
      <c r="N75" s="295"/>
      <c r="O75" s="295"/>
      <c r="P75" s="297"/>
      <c r="Q75" s="213"/>
      <c r="R75" s="214"/>
      <c r="S75" s="100"/>
      <c r="T75" s="100"/>
      <c r="U75" s="100"/>
      <c r="V75" s="100"/>
      <c r="W75" s="100"/>
      <c r="X75" s="100"/>
      <c r="Y75" s="100"/>
      <c r="Z75" s="100"/>
      <c r="AA75" s="100"/>
      <c r="AB75" s="550"/>
      <c r="AC75" s="441" t="s">
        <v>159</v>
      </c>
      <c r="AD75" s="150">
        <f t="shared" ref="AD75:AN75" si="48">+AD51+AD59+AD67</f>
        <v>0</v>
      </c>
      <c r="AE75" s="150">
        <f t="shared" si="48"/>
        <v>0</v>
      </c>
      <c r="AF75" s="150">
        <f t="shared" si="48"/>
        <v>0</v>
      </c>
      <c r="AG75" s="150">
        <f t="shared" si="48"/>
        <v>0</v>
      </c>
      <c r="AH75" s="150">
        <f t="shared" si="48"/>
        <v>0</v>
      </c>
      <c r="AI75" s="150">
        <f t="shared" si="48"/>
        <v>0</v>
      </c>
      <c r="AJ75" s="150">
        <f t="shared" si="48"/>
        <v>0</v>
      </c>
      <c r="AK75" s="150">
        <f t="shared" si="48"/>
        <v>0</v>
      </c>
      <c r="AL75" s="150">
        <f t="shared" si="48"/>
        <v>0</v>
      </c>
      <c r="AM75" s="150">
        <f>+AM51+AM59+AM67</f>
        <v>0</v>
      </c>
      <c r="AN75" s="151">
        <f t="shared" si="48"/>
        <v>0</v>
      </c>
      <c r="AO75" s="100"/>
      <c r="AP75" s="100"/>
      <c r="AQ75" s="100"/>
      <c r="AR75" s="100"/>
      <c r="AS75" s="100"/>
      <c r="AT75" s="98"/>
    </row>
    <row r="76" spans="1:46" ht="14" thickTop="1" x14ac:dyDescent="0.15">
      <c r="Q76" s="213"/>
      <c r="AB76" s="550"/>
      <c r="AC76" s="441" t="s">
        <v>168</v>
      </c>
      <c r="AD76" s="150">
        <f t="shared" ref="AD76:AN76" si="49">+AD52+AD60+AD68</f>
        <v>0</v>
      </c>
      <c r="AE76" s="150">
        <f t="shared" si="49"/>
        <v>0</v>
      </c>
      <c r="AF76" s="150">
        <f t="shared" si="49"/>
        <v>0</v>
      </c>
      <c r="AG76" s="150">
        <f t="shared" si="49"/>
        <v>0</v>
      </c>
      <c r="AH76" s="150">
        <f t="shared" si="49"/>
        <v>0</v>
      </c>
      <c r="AI76" s="150">
        <f t="shared" si="49"/>
        <v>0</v>
      </c>
      <c r="AJ76" s="150">
        <f t="shared" si="49"/>
        <v>0</v>
      </c>
      <c r="AK76" s="150">
        <f t="shared" si="49"/>
        <v>0</v>
      </c>
      <c r="AL76" s="150">
        <f t="shared" si="49"/>
        <v>0</v>
      </c>
      <c r="AM76" s="150">
        <f>+AM52+AM60+AM68</f>
        <v>0</v>
      </c>
      <c r="AN76" s="151">
        <f t="shared" si="49"/>
        <v>0</v>
      </c>
      <c r="AT76" s="98"/>
    </row>
    <row r="77" spans="1:46" ht="13" customHeight="1" x14ac:dyDescent="0.15">
      <c r="Q77" s="213"/>
      <c r="AB77" s="551"/>
      <c r="AC77" s="441" t="s">
        <v>169</v>
      </c>
      <c r="AD77" s="150">
        <f>+AD53+AD61+AD69</f>
        <v>0</v>
      </c>
      <c r="AE77" s="150">
        <f t="shared" ref="AE77:AN77" si="50">+AE53+AE61+AE69</f>
        <v>0</v>
      </c>
      <c r="AF77" s="150">
        <f t="shared" si="50"/>
        <v>0</v>
      </c>
      <c r="AG77" s="150">
        <f t="shared" si="50"/>
        <v>0</v>
      </c>
      <c r="AH77" s="150">
        <f t="shared" si="50"/>
        <v>0</v>
      </c>
      <c r="AI77" s="150">
        <f t="shared" si="50"/>
        <v>0</v>
      </c>
      <c r="AJ77" s="150">
        <f t="shared" si="50"/>
        <v>0</v>
      </c>
      <c r="AK77" s="150">
        <f t="shared" si="50"/>
        <v>0</v>
      </c>
      <c r="AL77" s="150">
        <f t="shared" si="50"/>
        <v>0</v>
      </c>
      <c r="AM77" s="150">
        <f>+AM53+AM61+AM69</f>
        <v>0</v>
      </c>
      <c r="AN77" s="151">
        <f t="shared" si="50"/>
        <v>0</v>
      </c>
      <c r="AT77" s="98"/>
    </row>
    <row r="78" spans="1:46" x14ac:dyDescent="0.15">
      <c r="Q78" s="213"/>
      <c r="R78" s="214"/>
      <c r="S78" s="100"/>
      <c r="T78" s="100"/>
      <c r="U78" s="100"/>
      <c r="V78" s="100"/>
      <c r="W78" s="100"/>
      <c r="X78" s="100"/>
      <c r="Y78" s="100"/>
      <c r="Z78" s="100"/>
      <c r="AA78" s="100"/>
      <c r="AB78" s="100"/>
      <c r="AC78" s="154" t="s">
        <v>50</v>
      </c>
      <c r="AD78" s="155">
        <f>+AD54+AD62+AD70</f>
        <v>245000</v>
      </c>
      <c r="AE78" s="155">
        <f t="shared" ref="AE78:AL78" si="51">+AE54+AE62+AE70</f>
        <v>1272450</v>
      </c>
      <c r="AF78" s="155">
        <f t="shared" si="51"/>
        <v>2687093.1</v>
      </c>
      <c r="AG78" s="155">
        <f t="shared" si="51"/>
        <v>3225515.1858000001</v>
      </c>
      <c r="AH78" s="155">
        <f t="shared" si="51"/>
        <v>3653238.3068844001</v>
      </c>
      <c r="AI78" s="155">
        <f t="shared" si="51"/>
        <v>4356178.1350254789</v>
      </c>
      <c r="AJ78" s="155">
        <f t="shared" si="51"/>
        <v>5238876.3515630541</v>
      </c>
      <c r="AK78" s="155">
        <f t="shared" si="51"/>
        <v>5196969.9035665141</v>
      </c>
      <c r="AL78" s="155">
        <f t="shared" si="51"/>
        <v>5370707.9745472204</v>
      </c>
      <c r="AM78" s="155">
        <f>+AM54+AM62+AM70</f>
        <v>5367713.800750114</v>
      </c>
      <c r="AN78" s="156">
        <f>+AN54+AN62+AN70</f>
        <v>5316420.4890669333</v>
      </c>
      <c r="AO78" s="100"/>
      <c r="AP78" s="100"/>
      <c r="AQ78" s="100"/>
      <c r="AR78" s="100"/>
      <c r="AS78" s="100"/>
      <c r="AT78" s="98"/>
    </row>
    <row r="79" spans="1:46" x14ac:dyDescent="0.15">
      <c r="Q79" s="213"/>
      <c r="R79" s="214"/>
      <c r="S79" s="100"/>
      <c r="T79" s="100"/>
      <c r="U79" s="100"/>
      <c r="V79" s="100"/>
      <c r="W79" s="100"/>
      <c r="X79" s="100"/>
      <c r="Y79" s="100"/>
      <c r="Z79" s="100"/>
      <c r="AA79" s="100"/>
      <c r="AB79" s="100"/>
      <c r="AC79" s="102"/>
      <c r="AD79" s="100"/>
      <c r="AE79" s="100"/>
      <c r="AF79" s="100"/>
      <c r="AG79" s="100"/>
      <c r="AH79" s="100"/>
      <c r="AI79" s="100"/>
      <c r="AJ79" s="100"/>
      <c r="AK79" s="100"/>
      <c r="AL79" s="100"/>
      <c r="AM79" s="100"/>
      <c r="AN79" s="100"/>
      <c r="AO79" s="100"/>
      <c r="AP79" s="100"/>
      <c r="AQ79" s="100"/>
      <c r="AR79" s="100"/>
      <c r="AS79" s="100"/>
      <c r="AT79" s="98"/>
    </row>
    <row r="80" spans="1:46" ht="14" x14ac:dyDescent="0.15">
      <c r="Q80" s="213"/>
      <c r="R80" s="214"/>
      <c r="S80" s="105" t="s">
        <v>137</v>
      </c>
      <c r="T80" s="100"/>
      <c r="U80" s="100"/>
      <c r="V80" s="100"/>
      <c r="W80" s="100"/>
      <c r="X80" s="100"/>
      <c r="Y80" s="100"/>
      <c r="Z80" s="100"/>
      <c r="AA80" s="100"/>
      <c r="AB80" s="100"/>
      <c r="AC80" s="102"/>
      <c r="AD80" s="100"/>
      <c r="AE80" s="100"/>
      <c r="AF80" s="100"/>
      <c r="AG80" s="100"/>
      <c r="AH80" s="100"/>
      <c r="AI80" s="100"/>
      <c r="AJ80" s="100"/>
      <c r="AK80" s="100"/>
      <c r="AL80" s="100"/>
      <c r="AM80" s="100"/>
      <c r="AN80" s="100"/>
      <c r="AO80" s="100"/>
      <c r="AP80" s="100"/>
      <c r="AQ80" s="100"/>
      <c r="AR80" s="100"/>
      <c r="AS80" s="100"/>
      <c r="AT80" s="98"/>
    </row>
    <row r="81" spans="17:46" ht="13" customHeight="1" x14ac:dyDescent="0.15">
      <c r="Q81" s="213"/>
      <c r="R81" s="100"/>
      <c r="S81" s="100"/>
      <c r="T81" s="558" t="s">
        <v>49</v>
      </c>
      <c r="U81" s="559"/>
      <c r="V81" s="559"/>
      <c r="W81" s="559"/>
      <c r="X81" s="559"/>
      <c r="Y81" s="559"/>
      <c r="Z81" s="559"/>
      <c r="AA81" s="559"/>
      <c r="AB81" s="559"/>
      <c r="AC81" s="560"/>
      <c r="AD81" s="137">
        <f>+I.InputData!G11</f>
        <v>45292</v>
      </c>
      <c r="AE81" s="557" t="s">
        <v>33</v>
      </c>
      <c r="AF81" s="557"/>
      <c r="AG81" s="557"/>
      <c r="AH81" s="557"/>
      <c r="AI81" s="557"/>
      <c r="AJ81" s="557"/>
      <c r="AK81" s="557"/>
      <c r="AL81" s="557"/>
      <c r="AM81" s="557"/>
      <c r="AN81" s="563"/>
      <c r="AO81" s="100"/>
      <c r="AP81" s="100"/>
      <c r="AQ81" s="100"/>
      <c r="AR81" s="100"/>
      <c r="AS81" s="100"/>
      <c r="AT81" s="98"/>
    </row>
    <row r="82" spans="17:46" x14ac:dyDescent="0.15">
      <c r="Q82" s="213"/>
      <c r="R82" s="100"/>
      <c r="S82" s="100"/>
      <c r="T82" s="138">
        <v>-10</v>
      </c>
      <c r="U82" s="138">
        <v>-9</v>
      </c>
      <c r="V82" s="138">
        <v>-8</v>
      </c>
      <c r="W82" s="138">
        <v>-7</v>
      </c>
      <c r="X82" s="138">
        <v>-6</v>
      </c>
      <c r="Y82" s="138">
        <v>-5</v>
      </c>
      <c r="Z82" s="138">
        <v>-4</v>
      </c>
      <c r="AA82" s="138">
        <v>-3</v>
      </c>
      <c r="AB82" s="138">
        <v>-2</v>
      </c>
      <c r="AC82" s="139">
        <v>-1</v>
      </c>
      <c r="AD82" s="140">
        <v>0</v>
      </c>
      <c r="AE82" s="138">
        <v>1</v>
      </c>
      <c r="AF82" s="138">
        <v>2</v>
      </c>
      <c r="AG82" s="138">
        <v>3</v>
      </c>
      <c r="AH82" s="138">
        <v>4</v>
      </c>
      <c r="AI82" s="138">
        <v>5</v>
      </c>
      <c r="AJ82" s="138">
        <v>6</v>
      </c>
      <c r="AK82" s="138">
        <v>7</v>
      </c>
      <c r="AL82" s="138">
        <v>8</v>
      </c>
      <c r="AM82" s="138">
        <v>9</v>
      </c>
      <c r="AN82" s="138">
        <v>10</v>
      </c>
      <c r="AO82" s="100"/>
      <c r="AP82" s="100"/>
      <c r="AQ82" s="100"/>
      <c r="AR82" s="100"/>
      <c r="AS82" s="100"/>
      <c r="AT82" s="98"/>
    </row>
    <row r="83" spans="17:46" x14ac:dyDescent="0.15">
      <c r="Q83" s="213"/>
      <c r="R83" s="549" t="s">
        <v>51</v>
      </c>
      <c r="S83" s="157" t="s">
        <v>41</v>
      </c>
      <c r="T83" s="158">
        <f t="shared" ref="T83:AN83" si="52">T32</f>
        <v>0</v>
      </c>
      <c r="U83" s="148">
        <f t="shared" si="52"/>
        <v>0</v>
      </c>
      <c r="V83" s="148">
        <f t="shared" si="52"/>
        <v>0</v>
      </c>
      <c r="W83" s="148">
        <f t="shared" si="52"/>
        <v>0</v>
      </c>
      <c r="X83" s="148">
        <f t="shared" si="52"/>
        <v>0</v>
      </c>
      <c r="Y83" s="148">
        <f t="shared" si="52"/>
        <v>0</v>
      </c>
      <c r="Z83" s="148">
        <f t="shared" si="52"/>
        <v>0</v>
      </c>
      <c r="AA83" s="148">
        <f t="shared" si="52"/>
        <v>0</v>
      </c>
      <c r="AB83" s="148">
        <f t="shared" si="52"/>
        <v>500000</v>
      </c>
      <c r="AC83" s="159">
        <f t="shared" si="52"/>
        <v>0</v>
      </c>
      <c r="AD83" s="361">
        <f t="shared" si="52"/>
        <v>0</v>
      </c>
      <c r="AE83" s="361">
        <f t="shared" si="52"/>
        <v>0</v>
      </c>
      <c r="AF83" s="361">
        <f t="shared" si="52"/>
        <v>0</v>
      </c>
      <c r="AG83" s="361">
        <f t="shared" si="52"/>
        <v>0</v>
      </c>
      <c r="AH83" s="361">
        <f t="shared" si="52"/>
        <v>0</v>
      </c>
      <c r="AI83" s="361">
        <f t="shared" si="52"/>
        <v>0</v>
      </c>
      <c r="AJ83" s="361">
        <f t="shared" si="52"/>
        <v>0</v>
      </c>
      <c r="AK83" s="361">
        <f t="shared" si="52"/>
        <v>0</v>
      </c>
      <c r="AL83" s="361">
        <f t="shared" si="52"/>
        <v>0</v>
      </c>
      <c r="AM83" s="361">
        <f t="shared" si="52"/>
        <v>0</v>
      </c>
      <c r="AN83" s="362">
        <f t="shared" si="52"/>
        <v>0</v>
      </c>
      <c r="AO83" s="100"/>
      <c r="AP83" s="100"/>
      <c r="AQ83" s="100"/>
      <c r="AR83" s="100"/>
      <c r="AS83" s="100"/>
      <c r="AT83" s="98"/>
    </row>
    <row r="84" spans="17:46" x14ac:dyDescent="0.15">
      <c r="Q84" s="213"/>
      <c r="R84" s="550"/>
      <c r="S84" s="160" t="s">
        <v>42</v>
      </c>
      <c r="T84" s="161">
        <f t="shared" ref="T84:AN84" si="53">T33</f>
        <v>0</v>
      </c>
      <c r="U84" s="150">
        <f t="shared" si="53"/>
        <v>0</v>
      </c>
      <c r="V84" s="150">
        <f t="shared" si="53"/>
        <v>0</v>
      </c>
      <c r="W84" s="150">
        <f t="shared" si="53"/>
        <v>0</v>
      </c>
      <c r="X84" s="150">
        <f t="shared" si="53"/>
        <v>0</v>
      </c>
      <c r="Y84" s="150">
        <f t="shared" si="53"/>
        <v>0</v>
      </c>
      <c r="Z84" s="150">
        <f t="shared" si="53"/>
        <v>0</v>
      </c>
      <c r="AA84" s="150">
        <f t="shared" si="53"/>
        <v>0</v>
      </c>
      <c r="AB84" s="150">
        <f t="shared" si="53"/>
        <v>0</v>
      </c>
      <c r="AC84" s="162">
        <f t="shared" si="53"/>
        <v>1000000</v>
      </c>
      <c r="AD84" s="363">
        <f t="shared" si="53"/>
        <v>0</v>
      </c>
      <c r="AE84" s="363">
        <f t="shared" si="53"/>
        <v>0</v>
      </c>
      <c r="AF84" s="363">
        <f t="shared" si="53"/>
        <v>0</v>
      </c>
      <c r="AG84" s="363">
        <f t="shared" si="53"/>
        <v>0</v>
      </c>
      <c r="AH84" s="363">
        <f t="shared" si="53"/>
        <v>0</v>
      </c>
      <c r="AI84" s="363">
        <f t="shared" si="53"/>
        <v>0</v>
      </c>
      <c r="AJ84" s="363">
        <f t="shared" si="53"/>
        <v>0</v>
      </c>
      <c r="AK84" s="363">
        <f t="shared" si="53"/>
        <v>0</v>
      </c>
      <c r="AL84" s="363">
        <f t="shared" si="53"/>
        <v>0</v>
      </c>
      <c r="AM84" s="363">
        <f t="shared" si="53"/>
        <v>0</v>
      </c>
      <c r="AN84" s="364">
        <f t="shared" si="53"/>
        <v>0</v>
      </c>
      <c r="AO84" s="100"/>
      <c r="AP84" s="100"/>
      <c r="AQ84" s="100"/>
      <c r="AR84" s="100"/>
      <c r="AS84" s="100"/>
      <c r="AT84" s="98"/>
    </row>
    <row r="85" spans="17:46" ht="13" customHeight="1" x14ac:dyDescent="0.15">
      <c r="Q85" s="213"/>
      <c r="R85" s="550"/>
      <c r="S85" s="160" t="s">
        <v>23</v>
      </c>
      <c r="T85" s="161">
        <f t="shared" ref="T85:AN85" si="54">T34</f>
        <v>0</v>
      </c>
      <c r="U85" s="150">
        <f t="shared" si="54"/>
        <v>0</v>
      </c>
      <c r="V85" s="150">
        <f t="shared" si="54"/>
        <v>0</v>
      </c>
      <c r="W85" s="150">
        <f t="shared" si="54"/>
        <v>0</v>
      </c>
      <c r="X85" s="150">
        <f t="shared" si="54"/>
        <v>0</v>
      </c>
      <c r="Y85" s="150">
        <f t="shared" si="54"/>
        <v>0</v>
      </c>
      <c r="Z85" s="150">
        <f t="shared" si="54"/>
        <v>0</v>
      </c>
      <c r="AA85" s="150">
        <f t="shared" si="54"/>
        <v>0</v>
      </c>
      <c r="AB85" s="150">
        <f t="shared" si="54"/>
        <v>0</v>
      </c>
      <c r="AC85" s="162">
        <f t="shared" si="54"/>
        <v>268131.86813186813</v>
      </c>
      <c r="AD85" s="363">
        <f t="shared" si="54"/>
        <v>531868.13186813192</v>
      </c>
      <c r="AE85" s="363">
        <f t="shared" si="54"/>
        <v>0</v>
      </c>
      <c r="AF85" s="363">
        <f t="shared" si="54"/>
        <v>0</v>
      </c>
      <c r="AG85" s="363">
        <f t="shared" si="54"/>
        <v>0</v>
      </c>
      <c r="AH85" s="363">
        <f t="shared" si="54"/>
        <v>0</v>
      </c>
      <c r="AI85" s="363">
        <f t="shared" si="54"/>
        <v>0</v>
      </c>
      <c r="AJ85" s="363">
        <f t="shared" si="54"/>
        <v>0</v>
      </c>
      <c r="AK85" s="363">
        <f t="shared" si="54"/>
        <v>0</v>
      </c>
      <c r="AL85" s="363">
        <f t="shared" si="54"/>
        <v>0</v>
      </c>
      <c r="AM85" s="363">
        <f t="shared" si="54"/>
        <v>0</v>
      </c>
      <c r="AN85" s="364">
        <f t="shared" si="54"/>
        <v>0</v>
      </c>
      <c r="AO85" s="100"/>
      <c r="AP85" s="100"/>
      <c r="AQ85" s="100"/>
      <c r="AR85" s="100"/>
      <c r="AS85" s="100"/>
      <c r="AT85" s="98"/>
    </row>
    <row r="86" spans="17:46" x14ac:dyDescent="0.15">
      <c r="Q86" s="213"/>
      <c r="R86" s="551"/>
      <c r="S86" s="163" t="s">
        <v>43</v>
      </c>
      <c r="T86" s="164">
        <f t="shared" ref="T86:AN86" si="55">T35</f>
        <v>0</v>
      </c>
      <c r="U86" s="152">
        <f t="shared" si="55"/>
        <v>0</v>
      </c>
      <c r="V86" s="152">
        <f t="shared" si="55"/>
        <v>0</v>
      </c>
      <c r="W86" s="152">
        <f t="shared" si="55"/>
        <v>0</v>
      </c>
      <c r="X86" s="152">
        <f t="shared" si="55"/>
        <v>0</v>
      </c>
      <c r="Y86" s="152">
        <f t="shared" si="55"/>
        <v>0</v>
      </c>
      <c r="Z86" s="152">
        <f t="shared" si="55"/>
        <v>0</v>
      </c>
      <c r="AA86" s="152">
        <f t="shared" si="55"/>
        <v>0</v>
      </c>
      <c r="AB86" s="152">
        <f t="shared" si="55"/>
        <v>0</v>
      </c>
      <c r="AC86" s="165">
        <f t="shared" si="55"/>
        <v>0</v>
      </c>
      <c r="AD86" s="365">
        <f t="shared" si="55"/>
        <v>0</v>
      </c>
      <c r="AE86" s="365">
        <f t="shared" si="55"/>
        <v>0</v>
      </c>
      <c r="AF86" s="365">
        <f t="shared" si="55"/>
        <v>0</v>
      </c>
      <c r="AG86" s="365">
        <f t="shared" si="55"/>
        <v>0</v>
      </c>
      <c r="AH86" s="365">
        <f t="shared" si="55"/>
        <v>0</v>
      </c>
      <c r="AI86" s="365">
        <f t="shared" si="55"/>
        <v>0</v>
      </c>
      <c r="AJ86" s="365">
        <f t="shared" si="55"/>
        <v>0</v>
      </c>
      <c r="AK86" s="365">
        <f t="shared" si="55"/>
        <v>0</v>
      </c>
      <c r="AL86" s="365">
        <f t="shared" si="55"/>
        <v>0</v>
      </c>
      <c r="AM86" s="365">
        <f t="shared" si="55"/>
        <v>0</v>
      </c>
      <c r="AN86" s="366">
        <f t="shared" si="55"/>
        <v>0</v>
      </c>
      <c r="AO86" s="100"/>
      <c r="AP86" s="100"/>
      <c r="AQ86" s="100"/>
      <c r="AR86" s="100"/>
      <c r="AS86" s="100"/>
      <c r="AT86" s="98"/>
    </row>
    <row r="87" spans="17:46" x14ac:dyDescent="0.15">
      <c r="Q87" s="213"/>
      <c r="R87" s="549" t="s">
        <v>52</v>
      </c>
      <c r="S87" s="157" t="s">
        <v>41</v>
      </c>
      <c r="T87" s="158">
        <f t="shared" ref="T87:AN87" si="56">+T83*$F7*$Z23</f>
        <v>0</v>
      </c>
      <c r="U87" s="148">
        <f t="shared" si="56"/>
        <v>0</v>
      </c>
      <c r="V87" s="148">
        <f t="shared" si="56"/>
        <v>0</v>
      </c>
      <c r="W87" s="148">
        <f t="shared" si="56"/>
        <v>0</v>
      </c>
      <c r="X87" s="148">
        <f t="shared" si="56"/>
        <v>0</v>
      </c>
      <c r="Y87" s="148">
        <f t="shared" si="56"/>
        <v>0</v>
      </c>
      <c r="Z87" s="148">
        <f t="shared" si="56"/>
        <v>0</v>
      </c>
      <c r="AA87" s="148">
        <f t="shared" si="56"/>
        <v>0</v>
      </c>
      <c r="AB87" s="148">
        <f t="shared" si="56"/>
        <v>0</v>
      </c>
      <c r="AC87" s="159">
        <f t="shared" si="56"/>
        <v>0</v>
      </c>
      <c r="AD87" s="361">
        <f t="shared" si="56"/>
        <v>0</v>
      </c>
      <c r="AE87" s="361">
        <f t="shared" si="56"/>
        <v>0</v>
      </c>
      <c r="AF87" s="361">
        <f t="shared" si="56"/>
        <v>0</v>
      </c>
      <c r="AG87" s="361">
        <f t="shared" si="56"/>
        <v>0</v>
      </c>
      <c r="AH87" s="361">
        <f t="shared" si="56"/>
        <v>0</v>
      </c>
      <c r="AI87" s="361">
        <f t="shared" si="56"/>
        <v>0</v>
      </c>
      <c r="AJ87" s="361">
        <f t="shared" si="56"/>
        <v>0</v>
      </c>
      <c r="AK87" s="361">
        <f t="shared" si="56"/>
        <v>0</v>
      </c>
      <c r="AL87" s="361">
        <f t="shared" si="56"/>
        <v>0</v>
      </c>
      <c r="AM87" s="361">
        <f t="shared" si="56"/>
        <v>0</v>
      </c>
      <c r="AN87" s="362">
        <f t="shared" si="56"/>
        <v>0</v>
      </c>
      <c r="AO87" s="100"/>
      <c r="AP87" s="100"/>
      <c r="AQ87" s="100"/>
      <c r="AR87" s="100"/>
      <c r="AS87" s="100"/>
      <c r="AT87" s="98"/>
    </row>
    <row r="88" spans="17:46" x14ac:dyDescent="0.15">
      <c r="Q88" s="213"/>
      <c r="R88" s="550"/>
      <c r="S88" s="160" t="s">
        <v>42</v>
      </c>
      <c r="T88" s="161">
        <f t="shared" ref="T88:AN88" si="57">+T84*$F8*$Z24</f>
        <v>0</v>
      </c>
      <c r="U88" s="150">
        <f t="shared" si="57"/>
        <v>0</v>
      </c>
      <c r="V88" s="150">
        <f t="shared" si="57"/>
        <v>0</v>
      </c>
      <c r="W88" s="150">
        <f t="shared" si="57"/>
        <v>0</v>
      </c>
      <c r="X88" s="150">
        <f t="shared" si="57"/>
        <v>0</v>
      </c>
      <c r="Y88" s="150">
        <f t="shared" si="57"/>
        <v>0</v>
      </c>
      <c r="Z88" s="150">
        <f t="shared" si="57"/>
        <v>0</v>
      </c>
      <c r="AA88" s="150">
        <f t="shared" si="57"/>
        <v>0</v>
      </c>
      <c r="AB88" s="150">
        <f t="shared" si="57"/>
        <v>0</v>
      </c>
      <c r="AC88" s="162">
        <f t="shared" si="57"/>
        <v>750000</v>
      </c>
      <c r="AD88" s="363">
        <f t="shared" si="57"/>
        <v>0</v>
      </c>
      <c r="AE88" s="363">
        <f t="shared" si="57"/>
        <v>0</v>
      </c>
      <c r="AF88" s="363">
        <f t="shared" si="57"/>
        <v>0</v>
      </c>
      <c r="AG88" s="363">
        <f t="shared" si="57"/>
        <v>0</v>
      </c>
      <c r="AH88" s="363">
        <f t="shared" si="57"/>
        <v>0</v>
      </c>
      <c r="AI88" s="363">
        <f t="shared" si="57"/>
        <v>0</v>
      </c>
      <c r="AJ88" s="363">
        <f t="shared" si="57"/>
        <v>0</v>
      </c>
      <c r="AK88" s="363">
        <f t="shared" si="57"/>
        <v>0</v>
      </c>
      <c r="AL88" s="363">
        <f t="shared" si="57"/>
        <v>0</v>
      </c>
      <c r="AM88" s="363">
        <f t="shared" si="57"/>
        <v>0</v>
      </c>
      <c r="AN88" s="364">
        <f t="shared" si="57"/>
        <v>0</v>
      </c>
      <c r="AO88" s="100"/>
      <c r="AP88" s="100"/>
      <c r="AQ88" s="100"/>
      <c r="AR88" s="100"/>
      <c r="AS88" s="100"/>
      <c r="AT88" s="98"/>
    </row>
    <row r="89" spans="17:46" x14ac:dyDescent="0.15">
      <c r="Q89" s="213"/>
      <c r="R89" s="550"/>
      <c r="S89" s="160" t="s">
        <v>23</v>
      </c>
      <c r="T89" s="161">
        <f t="shared" ref="T89:AN89" si="58">+T85*$F9*$Z25</f>
        <v>0</v>
      </c>
      <c r="U89" s="150">
        <f t="shared" si="58"/>
        <v>0</v>
      </c>
      <c r="V89" s="150">
        <f t="shared" si="58"/>
        <v>0</v>
      </c>
      <c r="W89" s="150">
        <f t="shared" si="58"/>
        <v>0</v>
      </c>
      <c r="X89" s="150">
        <f t="shared" si="58"/>
        <v>0</v>
      </c>
      <c r="Y89" s="150">
        <f t="shared" si="58"/>
        <v>0</v>
      </c>
      <c r="Z89" s="150">
        <f t="shared" si="58"/>
        <v>0</v>
      </c>
      <c r="AA89" s="150">
        <f t="shared" si="58"/>
        <v>0</v>
      </c>
      <c r="AB89" s="150">
        <f t="shared" si="58"/>
        <v>0</v>
      </c>
      <c r="AC89" s="162">
        <f t="shared" si="58"/>
        <v>134065.93406593407</v>
      </c>
      <c r="AD89" s="363">
        <f t="shared" si="58"/>
        <v>265934.06593406596</v>
      </c>
      <c r="AE89" s="363">
        <f t="shared" si="58"/>
        <v>0</v>
      </c>
      <c r="AF89" s="363">
        <f t="shared" si="58"/>
        <v>0</v>
      </c>
      <c r="AG89" s="363">
        <f t="shared" si="58"/>
        <v>0</v>
      </c>
      <c r="AH89" s="363">
        <f t="shared" si="58"/>
        <v>0</v>
      </c>
      <c r="AI89" s="363">
        <f t="shared" si="58"/>
        <v>0</v>
      </c>
      <c r="AJ89" s="363">
        <f t="shared" si="58"/>
        <v>0</v>
      </c>
      <c r="AK89" s="363">
        <f t="shared" si="58"/>
        <v>0</v>
      </c>
      <c r="AL89" s="363">
        <f t="shared" si="58"/>
        <v>0</v>
      </c>
      <c r="AM89" s="363">
        <f t="shared" si="58"/>
        <v>0</v>
      </c>
      <c r="AN89" s="364">
        <f t="shared" si="58"/>
        <v>0</v>
      </c>
      <c r="AO89" s="100"/>
      <c r="AP89" s="100"/>
      <c r="AQ89" s="100"/>
      <c r="AR89" s="100"/>
      <c r="AS89" s="100"/>
      <c r="AT89" s="98"/>
    </row>
    <row r="90" spans="17:46" x14ac:dyDescent="0.15">
      <c r="Q90" s="213"/>
      <c r="R90" s="551"/>
      <c r="S90" s="163" t="s">
        <v>43</v>
      </c>
      <c r="T90" s="164">
        <f t="shared" ref="T90:AN90" si="59">+T86*$F10*$Z26</f>
        <v>0</v>
      </c>
      <c r="U90" s="152">
        <f t="shared" si="59"/>
        <v>0</v>
      </c>
      <c r="V90" s="152">
        <f t="shared" si="59"/>
        <v>0</v>
      </c>
      <c r="W90" s="152">
        <f t="shared" si="59"/>
        <v>0</v>
      </c>
      <c r="X90" s="152">
        <f t="shared" si="59"/>
        <v>0</v>
      </c>
      <c r="Y90" s="152">
        <f t="shared" si="59"/>
        <v>0</v>
      </c>
      <c r="Z90" s="152">
        <f t="shared" si="59"/>
        <v>0</v>
      </c>
      <c r="AA90" s="152">
        <f t="shared" si="59"/>
        <v>0</v>
      </c>
      <c r="AB90" s="152">
        <f t="shared" si="59"/>
        <v>0</v>
      </c>
      <c r="AC90" s="162">
        <f t="shared" si="59"/>
        <v>0</v>
      </c>
      <c r="AD90" s="365">
        <f t="shared" si="59"/>
        <v>0</v>
      </c>
      <c r="AE90" s="365">
        <f t="shared" si="59"/>
        <v>0</v>
      </c>
      <c r="AF90" s="365">
        <f t="shared" si="59"/>
        <v>0</v>
      </c>
      <c r="AG90" s="365">
        <f t="shared" si="59"/>
        <v>0</v>
      </c>
      <c r="AH90" s="365">
        <f t="shared" si="59"/>
        <v>0</v>
      </c>
      <c r="AI90" s="365">
        <f t="shared" si="59"/>
        <v>0</v>
      </c>
      <c r="AJ90" s="365">
        <f t="shared" si="59"/>
        <v>0</v>
      </c>
      <c r="AK90" s="365">
        <f t="shared" si="59"/>
        <v>0</v>
      </c>
      <c r="AL90" s="365">
        <f t="shared" si="59"/>
        <v>0</v>
      </c>
      <c r="AM90" s="365">
        <f t="shared" si="59"/>
        <v>0</v>
      </c>
      <c r="AN90" s="366">
        <f t="shared" si="59"/>
        <v>0</v>
      </c>
      <c r="AO90" s="100"/>
      <c r="AP90" s="100"/>
      <c r="AQ90" s="100"/>
      <c r="AR90" s="100"/>
      <c r="AS90" s="100"/>
      <c r="AT90" s="98"/>
    </row>
    <row r="91" spans="17:46" x14ac:dyDescent="0.15">
      <c r="Q91" s="213"/>
      <c r="R91" s="555" t="s">
        <v>77</v>
      </c>
      <c r="S91" s="556"/>
      <c r="T91" s="166"/>
      <c r="U91" s="166"/>
      <c r="V91" s="166"/>
      <c r="W91" s="166"/>
      <c r="X91" s="166"/>
      <c r="Y91" s="166"/>
      <c r="Z91" s="166"/>
      <c r="AA91" s="166"/>
      <c r="AB91" s="166"/>
      <c r="AC91" s="167"/>
      <c r="AD91" s="168">
        <f t="shared" ref="AD91:AN91" si="60">+($G$17*E31+$G$18*E32+$G$19*E33+$G$20*E34+$G$21*E35)*(1+$G$24)^AD82</f>
        <v>160000</v>
      </c>
      <c r="AE91" s="168">
        <f t="shared" si="60"/>
        <v>816000</v>
      </c>
      <c r="AF91" s="168">
        <f t="shared" si="60"/>
        <v>1664640</v>
      </c>
      <c r="AG91" s="168">
        <f t="shared" si="60"/>
        <v>1867726.0799999998</v>
      </c>
      <c r="AH91" s="168">
        <f t="shared" si="60"/>
        <v>1991675.1743999999</v>
      </c>
      <c r="AI91" s="168">
        <f t="shared" si="60"/>
        <v>2296488.0706560002</v>
      </c>
      <c r="AJ91" s="168">
        <f t="shared" si="60"/>
        <v>2702789.8062336002</v>
      </c>
      <c r="AK91" s="168">
        <f t="shared" si="60"/>
        <v>2481161.0421224446</v>
      </c>
      <c r="AL91" s="168">
        <f t="shared" si="60"/>
        <v>2437051.5124847121</v>
      </c>
      <c r="AM91" s="168">
        <f t="shared" si="60"/>
        <v>2294577.7317548366</v>
      </c>
      <c r="AN91" s="443">
        <f t="shared" si="60"/>
        <v>2145430.1791907726</v>
      </c>
      <c r="AO91" s="100"/>
      <c r="AP91" s="100"/>
      <c r="AQ91" s="100"/>
      <c r="AR91" s="100"/>
      <c r="AS91" s="100"/>
      <c r="AT91" s="98"/>
    </row>
    <row r="92" spans="17:46" x14ac:dyDescent="0.15">
      <c r="Q92" s="213"/>
      <c r="R92" s="552" t="s">
        <v>25</v>
      </c>
      <c r="S92" s="374" t="s">
        <v>53</v>
      </c>
      <c r="T92" s="169"/>
      <c r="U92" s="170"/>
      <c r="V92" s="170"/>
      <c r="W92" s="170"/>
      <c r="X92" s="170"/>
      <c r="Y92" s="170"/>
      <c r="Z92" s="170"/>
      <c r="AA92" s="170"/>
      <c r="AB92" s="170"/>
      <c r="AC92" s="171"/>
      <c r="AD92" s="148">
        <f t="shared" ref="AD92:AN97" si="61">E43</f>
        <v>60000</v>
      </c>
      <c r="AE92" s="148">
        <f t="shared" si="61"/>
        <v>60000</v>
      </c>
      <c r="AF92" s="148">
        <f t="shared" si="61"/>
        <v>60000</v>
      </c>
      <c r="AG92" s="148">
        <f t="shared" si="61"/>
        <v>70000</v>
      </c>
      <c r="AH92" s="148">
        <f t="shared" si="61"/>
        <v>70000</v>
      </c>
      <c r="AI92" s="148">
        <f t="shared" si="61"/>
        <v>70000</v>
      </c>
      <c r="AJ92" s="148">
        <f t="shared" si="61"/>
        <v>75000</v>
      </c>
      <c r="AK92" s="148">
        <f t="shared" si="61"/>
        <v>75000</v>
      </c>
      <c r="AL92" s="148">
        <f t="shared" si="61"/>
        <v>75000</v>
      </c>
      <c r="AM92" s="148">
        <f t="shared" si="61"/>
        <v>70000</v>
      </c>
      <c r="AN92" s="149">
        <f t="shared" si="61"/>
        <v>70000</v>
      </c>
      <c r="AO92" s="100"/>
      <c r="AP92" s="100"/>
      <c r="AQ92" s="100"/>
      <c r="AR92" s="100"/>
      <c r="AS92" s="100"/>
      <c r="AT92" s="98"/>
    </row>
    <row r="93" spans="17:46" x14ac:dyDescent="0.15">
      <c r="Q93" s="213"/>
      <c r="R93" s="553"/>
      <c r="S93" s="375" t="s">
        <v>7</v>
      </c>
      <c r="T93" s="172"/>
      <c r="U93" s="166"/>
      <c r="V93" s="166"/>
      <c r="W93" s="166"/>
      <c r="X93" s="166"/>
      <c r="Y93" s="166"/>
      <c r="Z93" s="166"/>
      <c r="AA93" s="166"/>
      <c r="AB93" s="166"/>
      <c r="AC93" s="173"/>
      <c r="AD93" s="150">
        <f t="shared" si="61"/>
        <v>45000</v>
      </c>
      <c r="AE93" s="150">
        <f t="shared" si="61"/>
        <v>45000</v>
      </c>
      <c r="AF93" s="150">
        <f t="shared" si="61"/>
        <v>45000</v>
      </c>
      <c r="AG93" s="150">
        <f t="shared" si="61"/>
        <v>55000</v>
      </c>
      <c r="AH93" s="150">
        <f t="shared" si="61"/>
        <v>55000</v>
      </c>
      <c r="AI93" s="150">
        <f t="shared" si="61"/>
        <v>55000</v>
      </c>
      <c r="AJ93" s="150">
        <f t="shared" si="61"/>
        <v>60000</v>
      </c>
      <c r="AK93" s="150">
        <f t="shared" si="61"/>
        <v>60000</v>
      </c>
      <c r="AL93" s="150">
        <f t="shared" si="61"/>
        <v>60000</v>
      </c>
      <c r="AM93" s="150">
        <f t="shared" si="61"/>
        <v>55000</v>
      </c>
      <c r="AN93" s="151">
        <f t="shared" si="61"/>
        <v>55000</v>
      </c>
      <c r="AO93" s="100"/>
      <c r="AP93" s="100"/>
      <c r="AQ93" s="100"/>
      <c r="AR93" s="100"/>
      <c r="AS93" s="100"/>
      <c r="AT93" s="98"/>
    </row>
    <row r="94" spans="17:46" x14ac:dyDescent="0.15">
      <c r="Q94" s="213"/>
      <c r="R94" s="553"/>
      <c r="S94" s="375" t="s">
        <v>54</v>
      </c>
      <c r="T94" s="172"/>
      <c r="U94" s="166"/>
      <c r="V94" s="166"/>
      <c r="W94" s="166"/>
      <c r="X94" s="166"/>
      <c r="Y94" s="166"/>
      <c r="Z94" s="166"/>
      <c r="AA94" s="166"/>
      <c r="AB94" s="166"/>
      <c r="AC94" s="173"/>
      <c r="AD94" s="150">
        <f t="shared" si="61"/>
        <v>35000</v>
      </c>
      <c r="AE94" s="150">
        <f t="shared" si="61"/>
        <v>35000</v>
      </c>
      <c r="AF94" s="150">
        <f t="shared" si="61"/>
        <v>35000</v>
      </c>
      <c r="AG94" s="150">
        <f t="shared" si="61"/>
        <v>45000</v>
      </c>
      <c r="AH94" s="150">
        <f t="shared" si="61"/>
        <v>45000</v>
      </c>
      <c r="AI94" s="150">
        <f t="shared" si="61"/>
        <v>45000</v>
      </c>
      <c r="AJ94" s="150">
        <f t="shared" si="61"/>
        <v>50000</v>
      </c>
      <c r="AK94" s="150">
        <f t="shared" si="61"/>
        <v>50000</v>
      </c>
      <c r="AL94" s="150">
        <f t="shared" si="61"/>
        <v>50000</v>
      </c>
      <c r="AM94" s="150">
        <f t="shared" si="61"/>
        <v>45000</v>
      </c>
      <c r="AN94" s="151">
        <f t="shared" si="61"/>
        <v>45000</v>
      </c>
      <c r="AO94" s="100"/>
      <c r="AP94" s="100"/>
      <c r="AQ94" s="100"/>
      <c r="AR94" s="100"/>
      <c r="AS94" s="100"/>
      <c r="AT94" s="98"/>
    </row>
    <row r="95" spans="17:46" x14ac:dyDescent="0.15">
      <c r="Q95" s="213"/>
      <c r="R95" s="553"/>
      <c r="S95" s="375" t="str">
        <f>+I.InputData!C46</f>
        <v>Other OPEX N.1</v>
      </c>
      <c r="T95" s="172"/>
      <c r="U95" s="166"/>
      <c r="V95" s="166"/>
      <c r="W95" s="166"/>
      <c r="X95" s="166"/>
      <c r="Y95" s="166"/>
      <c r="Z95" s="166"/>
      <c r="AA95" s="166"/>
      <c r="AB95" s="166"/>
      <c r="AC95" s="173"/>
      <c r="AD95" s="150">
        <f t="shared" si="61"/>
        <v>0</v>
      </c>
      <c r="AE95" s="150">
        <f t="shared" si="61"/>
        <v>0</v>
      </c>
      <c r="AF95" s="150">
        <f t="shared" si="61"/>
        <v>0</v>
      </c>
      <c r="AG95" s="150">
        <f t="shared" si="61"/>
        <v>0</v>
      </c>
      <c r="AH95" s="150">
        <f t="shared" si="61"/>
        <v>0</v>
      </c>
      <c r="AI95" s="150">
        <f t="shared" si="61"/>
        <v>0</v>
      </c>
      <c r="AJ95" s="150">
        <f t="shared" si="61"/>
        <v>0</v>
      </c>
      <c r="AK95" s="150">
        <f t="shared" si="61"/>
        <v>0</v>
      </c>
      <c r="AL95" s="150">
        <f t="shared" si="61"/>
        <v>0</v>
      </c>
      <c r="AM95" s="150">
        <f t="shared" si="61"/>
        <v>0</v>
      </c>
      <c r="AN95" s="151">
        <f t="shared" si="61"/>
        <v>0</v>
      </c>
      <c r="AO95" s="100"/>
      <c r="AP95" s="100"/>
      <c r="AQ95" s="100"/>
      <c r="AR95" s="100"/>
      <c r="AS95" s="100"/>
      <c r="AT95" s="98"/>
    </row>
    <row r="96" spans="17:46" x14ac:dyDescent="0.15">
      <c r="Q96" s="213"/>
      <c r="R96" s="553"/>
      <c r="S96" s="375" t="str">
        <f>+I.InputData!C47</f>
        <v>Other OPEX N.2</v>
      </c>
      <c r="T96" s="172"/>
      <c r="U96" s="166"/>
      <c r="V96" s="166"/>
      <c r="W96" s="166"/>
      <c r="X96" s="166"/>
      <c r="Y96" s="166"/>
      <c r="Z96" s="166"/>
      <c r="AA96" s="166"/>
      <c r="AB96" s="166"/>
      <c r="AC96" s="173"/>
      <c r="AD96" s="150">
        <f t="shared" si="61"/>
        <v>0</v>
      </c>
      <c r="AE96" s="150">
        <f t="shared" si="61"/>
        <v>0</v>
      </c>
      <c r="AF96" s="150">
        <f t="shared" si="61"/>
        <v>0</v>
      </c>
      <c r="AG96" s="150">
        <f t="shared" si="61"/>
        <v>0</v>
      </c>
      <c r="AH96" s="150">
        <f t="shared" si="61"/>
        <v>0</v>
      </c>
      <c r="AI96" s="150">
        <f t="shared" si="61"/>
        <v>0</v>
      </c>
      <c r="AJ96" s="150">
        <f t="shared" si="61"/>
        <v>0</v>
      </c>
      <c r="AK96" s="150">
        <f t="shared" si="61"/>
        <v>0</v>
      </c>
      <c r="AL96" s="150">
        <f t="shared" si="61"/>
        <v>0</v>
      </c>
      <c r="AM96" s="150">
        <f t="shared" si="61"/>
        <v>0</v>
      </c>
      <c r="AN96" s="151">
        <f t="shared" si="61"/>
        <v>0</v>
      </c>
      <c r="AO96" s="100"/>
      <c r="AP96" s="100"/>
      <c r="AQ96" s="100"/>
      <c r="AR96" s="100"/>
      <c r="AS96" s="100"/>
      <c r="AT96" s="98"/>
    </row>
    <row r="97" spans="17:46" x14ac:dyDescent="0.15">
      <c r="Q97" s="213"/>
      <c r="R97" s="554"/>
      <c r="S97" s="376" t="str">
        <f>+I.InputData!C48</f>
        <v>Other OPEX N.3</v>
      </c>
      <c r="T97" s="172"/>
      <c r="U97" s="166"/>
      <c r="V97" s="166"/>
      <c r="W97" s="166"/>
      <c r="X97" s="166"/>
      <c r="Y97" s="166"/>
      <c r="Z97" s="166"/>
      <c r="AA97" s="166"/>
      <c r="AB97" s="166"/>
      <c r="AC97" s="173"/>
      <c r="AD97" s="150">
        <f t="shared" si="61"/>
        <v>0</v>
      </c>
      <c r="AE97" s="150">
        <f t="shared" si="61"/>
        <v>0</v>
      </c>
      <c r="AF97" s="150">
        <f t="shared" si="61"/>
        <v>0</v>
      </c>
      <c r="AG97" s="150">
        <f t="shared" si="61"/>
        <v>0</v>
      </c>
      <c r="AH97" s="150">
        <f t="shared" si="61"/>
        <v>0</v>
      </c>
      <c r="AI97" s="150">
        <f t="shared" si="61"/>
        <v>0</v>
      </c>
      <c r="AJ97" s="150">
        <f t="shared" si="61"/>
        <v>0</v>
      </c>
      <c r="AK97" s="150">
        <f t="shared" si="61"/>
        <v>0</v>
      </c>
      <c r="AL97" s="150">
        <f t="shared" si="61"/>
        <v>0</v>
      </c>
      <c r="AM97" s="150">
        <f t="shared" si="61"/>
        <v>0</v>
      </c>
      <c r="AN97" s="151">
        <f t="shared" si="61"/>
        <v>0</v>
      </c>
      <c r="AO97" s="100"/>
      <c r="AP97" s="100"/>
      <c r="AQ97" s="100"/>
      <c r="AR97" s="100"/>
      <c r="AS97" s="100"/>
      <c r="AT97" s="98"/>
    </row>
    <row r="98" spans="17:46" x14ac:dyDescent="0.15">
      <c r="Q98" s="213"/>
      <c r="R98" s="100"/>
      <c r="S98" s="374" t="str">
        <f>CONCATENATE(+I.InputData!C55," dep.",+I.InputData!$E$54,"y")</f>
        <v>Investment N.1 dep.5y</v>
      </c>
      <c r="T98" s="174"/>
      <c r="U98" s="170"/>
      <c r="V98" s="170"/>
      <c r="W98" s="170"/>
      <c r="X98" s="170"/>
      <c r="Y98" s="170"/>
      <c r="Z98" s="170"/>
      <c r="AA98" s="170"/>
      <c r="AB98" s="170"/>
      <c r="AC98" s="171"/>
      <c r="AD98" s="148">
        <f t="shared" ref="AD98:AN99" si="62">E59</f>
        <v>0</v>
      </c>
      <c r="AE98" s="148">
        <f t="shared" si="62"/>
        <v>20000</v>
      </c>
      <c r="AF98" s="148">
        <f t="shared" si="62"/>
        <v>0</v>
      </c>
      <c r="AG98" s="148">
        <f t="shared" si="62"/>
        <v>0</v>
      </c>
      <c r="AH98" s="148">
        <f t="shared" si="62"/>
        <v>0</v>
      </c>
      <c r="AI98" s="148">
        <f t="shared" si="62"/>
        <v>0</v>
      </c>
      <c r="AJ98" s="148">
        <f t="shared" si="62"/>
        <v>0</v>
      </c>
      <c r="AK98" s="148">
        <f t="shared" si="62"/>
        <v>0</v>
      </c>
      <c r="AL98" s="148">
        <f t="shared" si="62"/>
        <v>0</v>
      </c>
      <c r="AM98" s="148">
        <f t="shared" si="62"/>
        <v>0</v>
      </c>
      <c r="AN98" s="149">
        <f t="shared" si="62"/>
        <v>0</v>
      </c>
      <c r="AO98" s="100"/>
      <c r="AP98" s="100"/>
      <c r="AQ98" s="100"/>
      <c r="AR98" s="100"/>
      <c r="AS98" s="100"/>
      <c r="AT98" s="98"/>
    </row>
    <row r="99" spans="17:46" x14ac:dyDescent="0.15">
      <c r="Q99" s="213"/>
      <c r="R99" s="100"/>
      <c r="S99" s="375" t="str">
        <f>CONCATENATE(+I.InputData!C56," dep.",+I.InputData!$E$54,"y")</f>
        <v>Investment N.2 dep.5y</v>
      </c>
      <c r="T99" s="172"/>
      <c r="U99" s="166"/>
      <c r="V99" s="166"/>
      <c r="W99" s="166"/>
      <c r="X99" s="166"/>
      <c r="Y99" s="166"/>
      <c r="Z99" s="166"/>
      <c r="AA99" s="166"/>
      <c r="AB99" s="166"/>
      <c r="AC99" s="173"/>
      <c r="AD99" s="150">
        <f t="shared" si="62"/>
        <v>0</v>
      </c>
      <c r="AE99" s="150">
        <f t="shared" si="62"/>
        <v>0</v>
      </c>
      <c r="AF99" s="150">
        <f t="shared" si="62"/>
        <v>0</v>
      </c>
      <c r="AG99" s="150">
        <f t="shared" si="62"/>
        <v>0</v>
      </c>
      <c r="AH99" s="150">
        <f t="shared" si="62"/>
        <v>0</v>
      </c>
      <c r="AI99" s="150">
        <f t="shared" si="62"/>
        <v>0</v>
      </c>
      <c r="AJ99" s="150">
        <f t="shared" si="62"/>
        <v>0</v>
      </c>
      <c r="AK99" s="150">
        <f t="shared" si="62"/>
        <v>0</v>
      </c>
      <c r="AL99" s="150">
        <f t="shared" si="62"/>
        <v>0</v>
      </c>
      <c r="AM99" s="150">
        <f t="shared" si="62"/>
        <v>0</v>
      </c>
      <c r="AN99" s="151">
        <f t="shared" si="62"/>
        <v>0</v>
      </c>
      <c r="AO99" s="100"/>
      <c r="AP99" s="100"/>
      <c r="AQ99" s="100"/>
      <c r="AR99" s="100"/>
      <c r="AS99" s="100"/>
      <c r="AT99" s="98"/>
    </row>
    <row r="100" spans="17:46" x14ac:dyDescent="0.15">
      <c r="Q100" s="213"/>
      <c r="R100" s="100"/>
      <c r="S100" s="376" t="str">
        <f>CONCATENATE("Total investment ",+I.InputData!$E$54,"y")</f>
        <v>Total investment 5y</v>
      </c>
      <c r="T100" s="175"/>
      <c r="U100" s="176"/>
      <c r="V100" s="176"/>
      <c r="W100" s="176"/>
      <c r="X100" s="176"/>
      <c r="Y100" s="176"/>
      <c r="Z100" s="176"/>
      <c r="AA100" s="176"/>
      <c r="AB100" s="176"/>
      <c r="AC100" s="177"/>
      <c r="AD100" s="152">
        <f t="shared" ref="AD100:AN100" si="63">+SUM(AD98:AD99)</f>
        <v>0</v>
      </c>
      <c r="AE100" s="152">
        <f t="shared" si="63"/>
        <v>20000</v>
      </c>
      <c r="AF100" s="152">
        <f t="shared" si="63"/>
        <v>0</v>
      </c>
      <c r="AG100" s="152">
        <f t="shared" si="63"/>
        <v>0</v>
      </c>
      <c r="AH100" s="152">
        <f t="shared" si="63"/>
        <v>0</v>
      </c>
      <c r="AI100" s="152">
        <f t="shared" si="63"/>
        <v>0</v>
      </c>
      <c r="AJ100" s="152">
        <f t="shared" si="63"/>
        <v>0</v>
      </c>
      <c r="AK100" s="152">
        <f t="shared" si="63"/>
        <v>0</v>
      </c>
      <c r="AL100" s="152">
        <f t="shared" si="63"/>
        <v>0</v>
      </c>
      <c r="AM100" s="152">
        <f t="shared" si="63"/>
        <v>0</v>
      </c>
      <c r="AN100" s="153">
        <f t="shared" si="63"/>
        <v>0</v>
      </c>
      <c r="AO100" s="100"/>
      <c r="AP100" s="100"/>
      <c r="AQ100" s="100"/>
      <c r="AR100" s="100"/>
      <c r="AS100" s="100"/>
      <c r="AT100" s="98"/>
    </row>
    <row r="101" spans="17:46" x14ac:dyDescent="0.15">
      <c r="Q101" s="213"/>
      <c r="R101" s="100"/>
      <c r="S101" s="374" t="str">
        <f>CONCATENATE(+I.InputData!C58," dep.",+I.InputData!$E$57,"y")</f>
        <v>Investment N.3 dep.7y</v>
      </c>
      <c r="T101" s="169"/>
      <c r="U101" s="170"/>
      <c r="V101" s="170"/>
      <c r="W101" s="170"/>
      <c r="X101" s="170"/>
      <c r="Y101" s="170"/>
      <c r="Z101" s="170"/>
      <c r="AA101" s="170"/>
      <c r="AB101" s="170"/>
      <c r="AC101" s="171"/>
      <c r="AD101" s="148">
        <f t="shared" ref="AD101:AN102" si="64">E64</f>
        <v>0</v>
      </c>
      <c r="AE101" s="148">
        <f t="shared" si="64"/>
        <v>0</v>
      </c>
      <c r="AF101" s="148">
        <f t="shared" si="64"/>
        <v>0</v>
      </c>
      <c r="AG101" s="148">
        <f t="shared" si="64"/>
        <v>0</v>
      </c>
      <c r="AH101" s="148">
        <f t="shared" si="64"/>
        <v>0</v>
      </c>
      <c r="AI101" s="148">
        <f t="shared" si="64"/>
        <v>0</v>
      </c>
      <c r="AJ101" s="148">
        <f t="shared" si="64"/>
        <v>0</v>
      </c>
      <c r="AK101" s="148">
        <f t="shared" si="64"/>
        <v>0</v>
      </c>
      <c r="AL101" s="148">
        <f t="shared" si="64"/>
        <v>0</v>
      </c>
      <c r="AM101" s="148">
        <f t="shared" si="64"/>
        <v>0</v>
      </c>
      <c r="AN101" s="149">
        <f t="shared" si="64"/>
        <v>0</v>
      </c>
      <c r="AO101" s="100"/>
      <c r="AP101" s="100"/>
      <c r="AQ101" s="100"/>
      <c r="AR101" s="100"/>
      <c r="AS101" s="100"/>
      <c r="AT101" s="98"/>
    </row>
    <row r="102" spans="17:46" x14ac:dyDescent="0.15">
      <c r="Q102" s="213"/>
      <c r="R102" s="100"/>
      <c r="S102" s="375" t="str">
        <f>CONCATENATE(+I.InputData!C59," dep.",+I.InputData!$E$57,"y")</f>
        <v>Investment N.4 dep.7y</v>
      </c>
      <c r="T102" s="172"/>
      <c r="U102" s="166"/>
      <c r="V102" s="166"/>
      <c r="W102" s="166"/>
      <c r="X102" s="166"/>
      <c r="Y102" s="166"/>
      <c r="Z102" s="166"/>
      <c r="AA102" s="166"/>
      <c r="AB102" s="166"/>
      <c r="AC102" s="173"/>
      <c r="AD102" s="150">
        <f t="shared" si="64"/>
        <v>0</v>
      </c>
      <c r="AE102" s="150">
        <f t="shared" si="64"/>
        <v>0</v>
      </c>
      <c r="AF102" s="150">
        <f t="shared" si="64"/>
        <v>0</v>
      </c>
      <c r="AG102" s="150">
        <f t="shared" si="64"/>
        <v>0</v>
      </c>
      <c r="AH102" s="150">
        <f t="shared" si="64"/>
        <v>0</v>
      </c>
      <c r="AI102" s="150">
        <f t="shared" si="64"/>
        <v>0</v>
      </c>
      <c r="AJ102" s="150">
        <f t="shared" si="64"/>
        <v>0</v>
      </c>
      <c r="AK102" s="150">
        <f t="shared" si="64"/>
        <v>0</v>
      </c>
      <c r="AL102" s="150">
        <f t="shared" si="64"/>
        <v>0</v>
      </c>
      <c r="AM102" s="150">
        <f t="shared" si="64"/>
        <v>0</v>
      </c>
      <c r="AN102" s="151">
        <f t="shared" si="64"/>
        <v>0</v>
      </c>
      <c r="AO102" s="100"/>
      <c r="AP102" s="100"/>
      <c r="AQ102" s="100"/>
      <c r="AR102" s="100"/>
      <c r="AS102" s="100"/>
      <c r="AT102" s="98"/>
    </row>
    <row r="103" spans="17:46" x14ac:dyDescent="0.15">
      <c r="Q103" s="213"/>
      <c r="R103" s="100"/>
      <c r="S103" s="376" t="str">
        <f>CONCATENATE("Total investment ",+I.InputData!$E$57,"y")</f>
        <v>Total investment 7y</v>
      </c>
      <c r="T103" s="175"/>
      <c r="U103" s="176"/>
      <c r="V103" s="176"/>
      <c r="W103" s="176"/>
      <c r="X103" s="176"/>
      <c r="Y103" s="176"/>
      <c r="Z103" s="176"/>
      <c r="AA103" s="176"/>
      <c r="AB103" s="176"/>
      <c r="AC103" s="177"/>
      <c r="AD103" s="152">
        <f t="shared" ref="AD103:AN103" si="65">+SUM(AD101:AD102)</f>
        <v>0</v>
      </c>
      <c r="AE103" s="152">
        <f t="shared" si="65"/>
        <v>0</v>
      </c>
      <c r="AF103" s="152">
        <f t="shared" si="65"/>
        <v>0</v>
      </c>
      <c r="AG103" s="152">
        <f t="shared" si="65"/>
        <v>0</v>
      </c>
      <c r="AH103" s="152">
        <f t="shared" si="65"/>
        <v>0</v>
      </c>
      <c r="AI103" s="152">
        <f t="shared" si="65"/>
        <v>0</v>
      </c>
      <c r="AJ103" s="152">
        <f t="shared" si="65"/>
        <v>0</v>
      </c>
      <c r="AK103" s="152">
        <f t="shared" si="65"/>
        <v>0</v>
      </c>
      <c r="AL103" s="152">
        <f t="shared" si="65"/>
        <v>0</v>
      </c>
      <c r="AM103" s="152">
        <f t="shared" si="65"/>
        <v>0</v>
      </c>
      <c r="AN103" s="153">
        <f t="shared" si="65"/>
        <v>0</v>
      </c>
      <c r="AO103" s="100"/>
      <c r="AP103" s="100"/>
      <c r="AQ103" s="100"/>
      <c r="AR103" s="100"/>
      <c r="AS103" s="100"/>
      <c r="AT103" s="98"/>
    </row>
    <row r="104" spans="17:46" x14ac:dyDescent="0.15">
      <c r="Q104" s="213"/>
      <c r="R104" s="100"/>
      <c r="S104" s="100"/>
      <c r="T104" s="100"/>
      <c r="U104" s="100"/>
      <c r="V104" s="100"/>
      <c r="W104" s="100"/>
      <c r="X104" s="100"/>
      <c r="Y104" s="100"/>
      <c r="Z104" s="100"/>
      <c r="AA104" s="100"/>
      <c r="AB104" s="100"/>
      <c r="AC104" s="102"/>
      <c r="AD104" s="100"/>
      <c r="AE104" s="100"/>
      <c r="AF104" s="100"/>
      <c r="AG104" s="100"/>
      <c r="AH104" s="100"/>
      <c r="AI104" s="100"/>
      <c r="AJ104" s="100"/>
      <c r="AK104" s="100"/>
      <c r="AL104" s="100"/>
      <c r="AM104" s="100"/>
      <c r="AN104" s="100"/>
      <c r="AO104" s="100"/>
      <c r="AP104" s="100"/>
      <c r="AQ104" s="100"/>
      <c r="AR104" s="100"/>
      <c r="AS104" s="100"/>
      <c r="AT104" s="98"/>
    </row>
    <row r="105" spans="17:46" ht="14" x14ac:dyDescent="0.15">
      <c r="Q105" s="213"/>
      <c r="R105" s="100"/>
      <c r="S105" s="100"/>
      <c r="T105" s="100"/>
      <c r="U105" s="100"/>
      <c r="V105" s="100"/>
      <c r="W105" s="100"/>
      <c r="X105" s="100"/>
      <c r="Y105" s="100"/>
      <c r="Z105" s="105" t="s">
        <v>138</v>
      </c>
      <c r="AA105" s="100"/>
      <c r="AB105" s="100"/>
      <c r="AC105" s="102"/>
      <c r="AD105" s="100"/>
      <c r="AE105" s="100"/>
      <c r="AF105" s="100"/>
      <c r="AG105" s="100"/>
      <c r="AH105" s="100"/>
      <c r="AI105" s="100"/>
      <c r="AJ105" s="100"/>
      <c r="AK105" s="100"/>
      <c r="AL105" s="100"/>
      <c r="AM105" s="100"/>
      <c r="AN105" s="100"/>
      <c r="AO105" s="100"/>
      <c r="AP105" s="100"/>
      <c r="AQ105" s="100"/>
      <c r="AR105" s="100"/>
      <c r="AS105" s="100"/>
      <c r="AT105" s="98"/>
    </row>
    <row r="106" spans="17:46" x14ac:dyDescent="0.15">
      <c r="Q106" s="213"/>
      <c r="R106" s="100"/>
      <c r="S106" s="100"/>
      <c r="T106" s="100"/>
      <c r="U106" s="100"/>
      <c r="V106" s="100"/>
      <c r="W106" s="100"/>
      <c r="X106" s="100"/>
      <c r="Y106" s="100"/>
      <c r="Z106" s="143"/>
      <c r="AA106" s="143"/>
      <c r="AB106" s="178" t="s">
        <v>8</v>
      </c>
      <c r="AC106" s="179" t="s">
        <v>11</v>
      </c>
      <c r="AD106" s="143"/>
      <c r="AE106" s="143"/>
      <c r="AF106" s="143"/>
      <c r="AG106" s="143"/>
      <c r="AH106" s="143"/>
      <c r="AI106" s="143"/>
      <c r="AJ106" s="143"/>
      <c r="AK106" s="143"/>
      <c r="AL106" s="143"/>
      <c r="AM106" s="143"/>
      <c r="AN106" s="143"/>
      <c r="AO106" s="143"/>
      <c r="AP106" s="143"/>
      <c r="AQ106" s="143"/>
      <c r="AR106" s="143"/>
      <c r="AS106" s="143"/>
      <c r="AT106" s="98"/>
    </row>
    <row r="107" spans="17:46" x14ac:dyDescent="0.15">
      <c r="Q107" s="213"/>
      <c r="R107" s="100"/>
      <c r="S107" s="100"/>
      <c r="T107" s="100"/>
      <c r="U107" s="100"/>
      <c r="V107" s="100"/>
      <c r="W107" s="100"/>
      <c r="X107" s="100"/>
      <c r="Y107" s="100"/>
      <c r="Z107" s="143"/>
      <c r="AA107" s="180"/>
      <c r="AB107" s="181">
        <f>E58</f>
        <v>5</v>
      </c>
      <c r="AC107" s="182">
        <f>1/AB107</f>
        <v>0.2</v>
      </c>
      <c r="AD107" s="144">
        <f>+I.InputData!G11</f>
        <v>45292</v>
      </c>
      <c r="AE107" s="561" t="s">
        <v>33</v>
      </c>
      <c r="AF107" s="561"/>
      <c r="AG107" s="561"/>
      <c r="AH107" s="561"/>
      <c r="AI107" s="561"/>
      <c r="AJ107" s="561"/>
      <c r="AK107" s="561"/>
      <c r="AL107" s="561"/>
      <c r="AM107" s="561"/>
      <c r="AN107" s="562"/>
      <c r="AO107" s="183"/>
      <c r="AP107" s="183"/>
      <c r="AQ107" s="183"/>
      <c r="AR107" s="183"/>
      <c r="AS107" s="184"/>
      <c r="AT107" s="98"/>
    </row>
    <row r="108" spans="17:46" x14ac:dyDescent="0.15">
      <c r="Q108" s="213"/>
      <c r="R108" s="100"/>
      <c r="S108" s="100"/>
      <c r="T108" s="100"/>
      <c r="U108" s="100"/>
      <c r="V108" s="100"/>
      <c r="W108" s="100"/>
      <c r="X108" s="100"/>
      <c r="Y108" s="100"/>
      <c r="Z108" s="185"/>
      <c r="AA108" s="185"/>
      <c r="AB108" s="186"/>
      <c r="AC108" s="187"/>
      <c r="AD108" s="188">
        <v>0</v>
      </c>
      <c r="AE108" s="189">
        <v>1</v>
      </c>
      <c r="AF108" s="189">
        <v>2</v>
      </c>
      <c r="AG108" s="189">
        <v>3</v>
      </c>
      <c r="AH108" s="189">
        <v>4</v>
      </c>
      <c r="AI108" s="189">
        <v>5</v>
      </c>
      <c r="AJ108" s="189">
        <v>6</v>
      </c>
      <c r="AK108" s="189">
        <v>7</v>
      </c>
      <c r="AL108" s="189">
        <v>8</v>
      </c>
      <c r="AM108" s="189">
        <v>9</v>
      </c>
      <c r="AN108" s="189">
        <v>10</v>
      </c>
      <c r="AO108" s="190">
        <f>+AN108+1</f>
        <v>11</v>
      </c>
      <c r="AP108" s="190">
        <f>+AO108+1</f>
        <v>12</v>
      </c>
      <c r="AQ108" s="190">
        <f>+AP108+1</f>
        <v>13</v>
      </c>
      <c r="AR108" s="190">
        <f>+AQ108+1</f>
        <v>14</v>
      </c>
      <c r="AS108" s="190">
        <f>+AR108+1</f>
        <v>15</v>
      </c>
      <c r="AT108" s="98"/>
    </row>
    <row r="109" spans="17:46" x14ac:dyDescent="0.15">
      <c r="Q109" s="213"/>
      <c r="R109" s="100"/>
      <c r="S109" s="100"/>
      <c r="T109" s="100"/>
      <c r="U109" s="100"/>
      <c r="V109" s="100"/>
      <c r="W109" s="100"/>
      <c r="X109" s="100"/>
      <c r="Y109" s="100"/>
      <c r="Z109" s="143"/>
      <c r="AA109" s="191" t="str">
        <f>+SUPPORT!S100</f>
        <v>Total investment 5y</v>
      </c>
      <c r="AB109" s="192"/>
      <c r="AC109" s="193"/>
      <c r="AD109" s="194">
        <f t="shared" ref="AD109:AS109" si="66">+AD100</f>
        <v>0</v>
      </c>
      <c r="AE109" s="194">
        <f t="shared" si="66"/>
        <v>20000</v>
      </c>
      <c r="AF109" s="194">
        <f t="shared" si="66"/>
        <v>0</v>
      </c>
      <c r="AG109" s="194">
        <f t="shared" si="66"/>
        <v>0</v>
      </c>
      <c r="AH109" s="194">
        <f t="shared" si="66"/>
        <v>0</v>
      </c>
      <c r="AI109" s="194">
        <f t="shared" si="66"/>
        <v>0</v>
      </c>
      <c r="AJ109" s="194">
        <f t="shared" si="66"/>
        <v>0</v>
      </c>
      <c r="AK109" s="194">
        <f t="shared" si="66"/>
        <v>0</v>
      </c>
      <c r="AL109" s="194">
        <f t="shared" si="66"/>
        <v>0</v>
      </c>
      <c r="AM109" s="194">
        <f t="shared" si="66"/>
        <v>0</v>
      </c>
      <c r="AN109" s="194">
        <f t="shared" si="66"/>
        <v>0</v>
      </c>
      <c r="AO109" s="194">
        <f t="shared" si="66"/>
        <v>0</v>
      </c>
      <c r="AP109" s="194">
        <f t="shared" si="66"/>
        <v>0</v>
      </c>
      <c r="AQ109" s="194">
        <f t="shared" si="66"/>
        <v>0</v>
      </c>
      <c r="AR109" s="194">
        <f t="shared" si="66"/>
        <v>0</v>
      </c>
      <c r="AS109" s="194">
        <f t="shared" si="66"/>
        <v>0</v>
      </c>
      <c r="AT109" s="98"/>
    </row>
    <row r="110" spans="17:46" ht="14" thickBot="1" x14ac:dyDescent="0.2">
      <c r="Q110" s="213"/>
      <c r="R110" s="100"/>
      <c r="S110" s="100"/>
      <c r="T110" s="100"/>
      <c r="U110" s="100"/>
      <c r="V110" s="100"/>
      <c r="W110" s="100"/>
      <c r="X110" s="100"/>
      <c r="Y110" s="100"/>
      <c r="Z110" s="195"/>
      <c r="AA110" s="195" t="s">
        <v>17</v>
      </c>
      <c r="AB110" s="195"/>
      <c r="AC110" s="196"/>
      <c r="AD110" s="197">
        <f>+AD109</f>
        <v>0</v>
      </c>
      <c r="AE110" s="198">
        <f>+AE109+AD110</f>
        <v>20000</v>
      </c>
      <c r="AF110" s="198">
        <f t="shared" ref="AF110:AS110" si="67">+AE110+AF109</f>
        <v>20000</v>
      </c>
      <c r="AG110" s="198">
        <f t="shared" si="67"/>
        <v>20000</v>
      </c>
      <c r="AH110" s="198">
        <f t="shared" si="67"/>
        <v>20000</v>
      </c>
      <c r="AI110" s="198">
        <f t="shared" si="67"/>
        <v>20000</v>
      </c>
      <c r="AJ110" s="198">
        <f t="shared" si="67"/>
        <v>20000</v>
      </c>
      <c r="AK110" s="198">
        <f t="shared" si="67"/>
        <v>20000</v>
      </c>
      <c r="AL110" s="198">
        <f t="shared" si="67"/>
        <v>20000</v>
      </c>
      <c r="AM110" s="198">
        <f t="shared" si="67"/>
        <v>20000</v>
      </c>
      <c r="AN110" s="198">
        <f t="shared" si="67"/>
        <v>20000</v>
      </c>
      <c r="AO110" s="198">
        <f t="shared" si="67"/>
        <v>20000</v>
      </c>
      <c r="AP110" s="198">
        <f t="shared" si="67"/>
        <v>20000</v>
      </c>
      <c r="AQ110" s="198">
        <f t="shared" si="67"/>
        <v>20000</v>
      </c>
      <c r="AR110" s="198">
        <f t="shared" si="67"/>
        <v>20000</v>
      </c>
      <c r="AS110" s="198">
        <f t="shared" si="67"/>
        <v>20000</v>
      </c>
      <c r="AT110" s="98"/>
    </row>
    <row r="111" spans="17:46" ht="14" thickTop="1" x14ac:dyDescent="0.15">
      <c r="Q111" s="213"/>
      <c r="R111" s="100"/>
      <c r="S111" s="100"/>
      <c r="T111" s="100"/>
      <c r="U111" s="100"/>
      <c r="V111" s="100"/>
      <c r="W111" s="100"/>
      <c r="X111" s="100"/>
      <c r="Y111" s="100"/>
      <c r="Z111" s="143"/>
      <c r="AA111" s="199"/>
      <c r="AB111" s="200">
        <f>+AD108</f>
        <v>0</v>
      </c>
      <c r="AC111" s="201">
        <f>+AD109</f>
        <v>0</v>
      </c>
      <c r="AD111" s="194">
        <f t="shared" ref="AD111:AS120" si="68">IF(AD$108=$AB111,$AC111/$AB$107,IF(AD$108&gt;=$AB111+$AB$107,0,IF(AD$108&lt;$AB111,0,$AC111/$AB$107)))</f>
        <v>0</v>
      </c>
      <c r="AE111" s="194">
        <f t="shared" si="68"/>
        <v>0</v>
      </c>
      <c r="AF111" s="194">
        <f t="shared" si="68"/>
        <v>0</v>
      </c>
      <c r="AG111" s="194">
        <f t="shared" si="68"/>
        <v>0</v>
      </c>
      <c r="AH111" s="194">
        <f t="shared" si="68"/>
        <v>0</v>
      </c>
      <c r="AI111" s="194">
        <f t="shared" si="68"/>
        <v>0</v>
      </c>
      <c r="AJ111" s="194">
        <f t="shared" si="68"/>
        <v>0</v>
      </c>
      <c r="AK111" s="194">
        <f t="shared" si="68"/>
        <v>0</v>
      </c>
      <c r="AL111" s="194">
        <f t="shared" si="68"/>
        <v>0</v>
      </c>
      <c r="AM111" s="194">
        <f t="shared" si="68"/>
        <v>0</v>
      </c>
      <c r="AN111" s="194">
        <f t="shared" si="68"/>
        <v>0</v>
      </c>
      <c r="AO111" s="194">
        <f t="shared" si="68"/>
        <v>0</v>
      </c>
      <c r="AP111" s="194">
        <f t="shared" si="68"/>
        <v>0</v>
      </c>
      <c r="AQ111" s="194">
        <f t="shared" si="68"/>
        <v>0</v>
      </c>
      <c r="AR111" s="194">
        <f t="shared" si="68"/>
        <v>0</v>
      </c>
      <c r="AS111" s="194">
        <f t="shared" si="68"/>
        <v>0</v>
      </c>
      <c r="AT111" s="98"/>
    </row>
    <row r="112" spans="17:46" x14ac:dyDescent="0.15">
      <c r="Q112" s="213"/>
      <c r="R112" s="100"/>
      <c r="S112" s="100"/>
      <c r="T112" s="100"/>
      <c r="U112" s="100"/>
      <c r="V112" s="100"/>
      <c r="W112" s="100"/>
      <c r="X112" s="100"/>
      <c r="Y112" s="100"/>
      <c r="Z112" s="143"/>
      <c r="AA112" s="143"/>
      <c r="AB112" s="200">
        <f>+AE108</f>
        <v>1</v>
      </c>
      <c r="AC112" s="201">
        <f>+AE109</f>
        <v>20000</v>
      </c>
      <c r="AD112" s="194">
        <f t="shared" si="68"/>
        <v>0</v>
      </c>
      <c r="AE112" s="194">
        <f t="shared" si="68"/>
        <v>4000</v>
      </c>
      <c r="AF112" s="194">
        <f t="shared" si="68"/>
        <v>4000</v>
      </c>
      <c r="AG112" s="194">
        <f t="shared" si="68"/>
        <v>4000</v>
      </c>
      <c r="AH112" s="194">
        <f t="shared" si="68"/>
        <v>4000</v>
      </c>
      <c r="AI112" s="194">
        <f t="shared" si="68"/>
        <v>4000</v>
      </c>
      <c r="AJ112" s="194">
        <f t="shared" si="68"/>
        <v>0</v>
      </c>
      <c r="AK112" s="194">
        <f t="shared" si="68"/>
        <v>0</v>
      </c>
      <c r="AL112" s="194">
        <f t="shared" si="68"/>
        <v>0</v>
      </c>
      <c r="AM112" s="194">
        <f t="shared" si="68"/>
        <v>0</v>
      </c>
      <c r="AN112" s="194">
        <f t="shared" si="68"/>
        <v>0</v>
      </c>
      <c r="AO112" s="194">
        <f t="shared" si="68"/>
        <v>0</v>
      </c>
      <c r="AP112" s="194">
        <f t="shared" si="68"/>
        <v>0</v>
      </c>
      <c r="AQ112" s="194">
        <f t="shared" si="68"/>
        <v>0</v>
      </c>
      <c r="AR112" s="194">
        <f t="shared" si="68"/>
        <v>0</v>
      </c>
      <c r="AS112" s="194">
        <f t="shared" si="68"/>
        <v>0</v>
      </c>
      <c r="AT112" s="98"/>
    </row>
    <row r="113" spans="17:46" x14ac:dyDescent="0.15">
      <c r="Q113" s="213"/>
      <c r="R113" s="100"/>
      <c r="S113" s="100"/>
      <c r="T113" s="100"/>
      <c r="U113" s="100"/>
      <c r="V113" s="100"/>
      <c r="W113" s="100"/>
      <c r="X113" s="100"/>
      <c r="Y113" s="100"/>
      <c r="Z113" s="143"/>
      <c r="AA113" s="143"/>
      <c r="AB113" s="200">
        <f>+AF108</f>
        <v>2</v>
      </c>
      <c r="AC113" s="201">
        <f>+AF109</f>
        <v>0</v>
      </c>
      <c r="AD113" s="194">
        <f t="shared" si="68"/>
        <v>0</v>
      </c>
      <c r="AE113" s="194">
        <f t="shared" si="68"/>
        <v>0</v>
      </c>
      <c r="AF113" s="194">
        <f t="shared" si="68"/>
        <v>0</v>
      </c>
      <c r="AG113" s="194">
        <f t="shared" si="68"/>
        <v>0</v>
      </c>
      <c r="AH113" s="194">
        <f t="shared" si="68"/>
        <v>0</v>
      </c>
      <c r="AI113" s="194">
        <f t="shared" si="68"/>
        <v>0</v>
      </c>
      <c r="AJ113" s="194">
        <f t="shared" si="68"/>
        <v>0</v>
      </c>
      <c r="AK113" s="194">
        <f t="shared" si="68"/>
        <v>0</v>
      </c>
      <c r="AL113" s="194">
        <f t="shared" si="68"/>
        <v>0</v>
      </c>
      <c r="AM113" s="194">
        <f t="shared" si="68"/>
        <v>0</v>
      </c>
      <c r="AN113" s="194">
        <f t="shared" si="68"/>
        <v>0</v>
      </c>
      <c r="AO113" s="194">
        <f t="shared" si="68"/>
        <v>0</v>
      </c>
      <c r="AP113" s="194">
        <f t="shared" si="68"/>
        <v>0</v>
      </c>
      <c r="AQ113" s="194">
        <f t="shared" si="68"/>
        <v>0</v>
      </c>
      <c r="AR113" s="194">
        <f t="shared" si="68"/>
        <v>0</v>
      </c>
      <c r="AS113" s="194">
        <f t="shared" si="68"/>
        <v>0</v>
      </c>
      <c r="AT113" s="98"/>
    </row>
    <row r="114" spans="17:46" x14ac:dyDescent="0.15">
      <c r="Q114" s="213"/>
      <c r="R114" s="100"/>
      <c r="S114" s="100"/>
      <c r="T114" s="100"/>
      <c r="U114" s="100"/>
      <c r="V114" s="100"/>
      <c r="W114" s="100"/>
      <c r="X114" s="100"/>
      <c r="Y114" s="100"/>
      <c r="Z114" s="143"/>
      <c r="AA114" s="143"/>
      <c r="AB114" s="200">
        <f>+AG108</f>
        <v>3</v>
      </c>
      <c r="AC114" s="201">
        <f>+AG109</f>
        <v>0</v>
      </c>
      <c r="AD114" s="194">
        <f t="shared" si="68"/>
        <v>0</v>
      </c>
      <c r="AE114" s="194">
        <f t="shared" si="68"/>
        <v>0</v>
      </c>
      <c r="AF114" s="194">
        <f t="shared" si="68"/>
        <v>0</v>
      </c>
      <c r="AG114" s="194">
        <f t="shared" si="68"/>
        <v>0</v>
      </c>
      <c r="AH114" s="194">
        <f t="shared" si="68"/>
        <v>0</v>
      </c>
      <c r="AI114" s="194">
        <f t="shared" si="68"/>
        <v>0</v>
      </c>
      <c r="AJ114" s="194">
        <f t="shared" si="68"/>
        <v>0</v>
      </c>
      <c r="AK114" s="194">
        <f t="shared" si="68"/>
        <v>0</v>
      </c>
      <c r="AL114" s="194">
        <f t="shared" si="68"/>
        <v>0</v>
      </c>
      <c r="AM114" s="194">
        <f t="shared" si="68"/>
        <v>0</v>
      </c>
      <c r="AN114" s="194">
        <f t="shared" si="68"/>
        <v>0</v>
      </c>
      <c r="AO114" s="194">
        <f t="shared" si="68"/>
        <v>0</v>
      </c>
      <c r="AP114" s="194">
        <f t="shared" si="68"/>
        <v>0</v>
      </c>
      <c r="AQ114" s="194">
        <f t="shared" si="68"/>
        <v>0</v>
      </c>
      <c r="AR114" s="194">
        <f t="shared" si="68"/>
        <v>0</v>
      </c>
      <c r="AS114" s="194">
        <f t="shared" si="68"/>
        <v>0</v>
      </c>
      <c r="AT114" s="98"/>
    </row>
    <row r="115" spans="17:46" x14ac:dyDescent="0.15">
      <c r="Q115" s="213"/>
      <c r="R115" s="100"/>
      <c r="S115" s="100"/>
      <c r="T115" s="100"/>
      <c r="U115" s="100"/>
      <c r="V115" s="100"/>
      <c r="W115" s="100"/>
      <c r="X115" s="100"/>
      <c r="Y115" s="100"/>
      <c r="Z115" s="143"/>
      <c r="AA115" s="145"/>
      <c r="AB115" s="200">
        <f>+AH108</f>
        <v>4</v>
      </c>
      <c r="AC115" s="201">
        <f>+AH109</f>
        <v>0</v>
      </c>
      <c r="AD115" s="194">
        <f t="shared" si="68"/>
        <v>0</v>
      </c>
      <c r="AE115" s="194">
        <f t="shared" si="68"/>
        <v>0</v>
      </c>
      <c r="AF115" s="194">
        <f t="shared" si="68"/>
        <v>0</v>
      </c>
      <c r="AG115" s="194">
        <f t="shared" si="68"/>
        <v>0</v>
      </c>
      <c r="AH115" s="194">
        <f t="shared" si="68"/>
        <v>0</v>
      </c>
      <c r="AI115" s="194">
        <f t="shared" si="68"/>
        <v>0</v>
      </c>
      <c r="AJ115" s="194">
        <f t="shared" si="68"/>
        <v>0</v>
      </c>
      <c r="AK115" s="194">
        <f t="shared" si="68"/>
        <v>0</v>
      </c>
      <c r="AL115" s="194">
        <f t="shared" si="68"/>
        <v>0</v>
      </c>
      <c r="AM115" s="194">
        <f t="shared" si="68"/>
        <v>0</v>
      </c>
      <c r="AN115" s="194">
        <f t="shared" si="68"/>
        <v>0</v>
      </c>
      <c r="AO115" s="194">
        <f t="shared" si="68"/>
        <v>0</v>
      </c>
      <c r="AP115" s="194">
        <f t="shared" si="68"/>
        <v>0</v>
      </c>
      <c r="AQ115" s="194">
        <f t="shared" si="68"/>
        <v>0</v>
      </c>
      <c r="AR115" s="194">
        <f t="shared" si="68"/>
        <v>0</v>
      </c>
      <c r="AS115" s="194">
        <f t="shared" si="68"/>
        <v>0</v>
      </c>
      <c r="AT115" s="98"/>
    </row>
    <row r="116" spans="17:46" x14ac:dyDescent="0.15">
      <c r="Q116" s="213"/>
      <c r="R116" s="100"/>
      <c r="S116" s="100"/>
      <c r="T116" s="100"/>
      <c r="U116" s="100"/>
      <c r="V116" s="100"/>
      <c r="W116" s="100"/>
      <c r="X116" s="100"/>
      <c r="Y116" s="100"/>
      <c r="Z116" s="143"/>
      <c r="AA116" s="145"/>
      <c r="AB116" s="200">
        <f>+AI108</f>
        <v>5</v>
      </c>
      <c r="AC116" s="201">
        <f>+AI109</f>
        <v>0</v>
      </c>
      <c r="AD116" s="194">
        <f t="shared" si="68"/>
        <v>0</v>
      </c>
      <c r="AE116" s="194">
        <f t="shared" si="68"/>
        <v>0</v>
      </c>
      <c r="AF116" s="194">
        <f t="shared" si="68"/>
        <v>0</v>
      </c>
      <c r="AG116" s="194">
        <f t="shared" si="68"/>
        <v>0</v>
      </c>
      <c r="AH116" s="194">
        <f t="shared" si="68"/>
        <v>0</v>
      </c>
      <c r="AI116" s="194">
        <f t="shared" si="68"/>
        <v>0</v>
      </c>
      <c r="AJ116" s="194">
        <f t="shared" si="68"/>
        <v>0</v>
      </c>
      <c r="AK116" s="194">
        <f t="shared" si="68"/>
        <v>0</v>
      </c>
      <c r="AL116" s="194">
        <f t="shared" si="68"/>
        <v>0</v>
      </c>
      <c r="AM116" s="194">
        <f t="shared" si="68"/>
        <v>0</v>
      </c>
      <c r="AN116" s="194">
        <f t="shared" si="68"/>
        <v>0</v>
      </c>
      <c r="AO116" s="194">
        <f t="shared" si="68"/>
        <v>0</v>
      </c>
      <c r="AP116" s="194">
        <f t="shared" si="68"/>
        <v>0</v>
      </c>
      <c r="AQ116" s="194">
        <f t="shared" si="68"/>
        <v>0</v>
      </c>
      <c r="AR116" s="194">
        <f t="shared" si="68"/>
        <v>0</v>
      </c>
      <c r="AS116" s="194">
        <f t="shared" si="68"/>
        <v>0</v>
      </c>
      <c r="AT116" s="98"/>
    </row>
    <row r="117" spans="17:46" x14ac:dyDescent="0.15">
      <c r="Q117" s="213"/>
      <c r="R117" s="100"/>
      <c r="S117" s="100"/>
      <c r="T117" s="100"/>
      <c r="U117" s="100"/>
      <c r="V117" s="100"/>
      <c r="W117" s="100"/>
      <c r="X117" s="100"/>
      <c r="Y117" s="100"/>
      <c r="Z117" s="143"/>
      <c r="AA117" s="145"/>
      <c r="AB117" s="200">
        <f>+AJ108</f>
        <v>6</v>
      </c>
      <c r="AC117" s="201">
        <f>+AJ109</f>
        <v>0</v>
      </c>
      <c r="AD117" s="194">
        <f t="shared" si="68"/>
        <v>0</v>
      </c>
      <c r="AE117" s="194">
        <f t="shared" si="68"/>
        <v>0</v>
      </c>
      <c r="AF117" s="194">
        <f t="shared" si="68"/>
        <v>0</v>
      </c>
      <c r="AG117" s="194">
        <f t="shared" si="68"/>
        <v>0</v>
      </c>
      <c r="AH117" s="194">
        <f t="shared" si="68"/>
        <v>0</v>
      </c>
      <c r="AI117" s="194">
        <f t="shared" si="68"/>
        <v>0</v>
      </c>
      <c r="AJ117" s="194">
        <f t="shared" si="68"/>
        <v>0</v>
      </c>
      <c r="AK117" s="194">
        <f t="shared" si="68"/>
        <v>0</v>
      </c>
      <c r="AL117" s="194">
        <f t="shared" si="68"/>
        <v>0</v>
      </c>
      <c r="AM117" s="194">
        <f t="shared" si="68"/>
        <v>0</v>
      </c>
      <c r="AN117" s="194">
        <f t="shared" si="68"/>
        <v>0</v>
      </c>
      <c r="AO117" s="194">
        <f t="shared" si="68"/>
        <v>0</v>
      </c>
      <c r="AP117" s="194">
        <f t="shared" si="68"/>
        <v>0</v>
      </c>
      <c r="AQ117" s="194">
        <f t="shared" si="68"/>
        <v>0</v>
      </c>
      <c r="AR117" s="194">
        <f t="shared" si="68"/>
        <v>0</v>
      </c>
      <c r="AS117" s="194">
        <f t="shared" si="68"/>
        <v>0</v>
      </c>
      <c r="AT117" s="98"/>
    </row>
    <row r="118" spans="17:46" x14ac:dyDescent="0.15">
      <c r="Q118" s="213"/>
      <c r="R118" s="100"/>
      <c r="S118" s="100"/>
      <c r="T118" s="100"/>
      <c r="U118" s="100"/>
      <c r="V118" s="100"/>
      <c r="W118" s="100"/>
      <c r="X118" s="100"/>
      <c r="Y118" s="100"/>
      <c r="Z118" s="143"/>
      <c r="AA118" s="145"/>
      <c r="AB118" s="200">
        <f>+AK108</f>
        <v>7</v>
      </c>
      <c r="AC118" s="201">
        <f>+AK109</f>
        <v>0</v>
      </c>
      <c r="AD118" s="194">
        <f t="shared" si="68"/>
        <v>0</v>
      </c>
      <c r="AE118" s="194">
        <f t="shared" si="68"/>
        <v>0</v>
      </c>
      <c r="AF118" s="194">
        <f t="shared" si="68"/>
        <v>0</v>
      </c>
      <c r="AG118" s="194">
        <f t="shared" si="68"/>
        <v>0</v>
      </c>
      <c r="AH118" s="194">
        <f t="shared" si="68"/>
        <v>0</v>
      </c>
      <c r="AI118" s="194">
        <f t="shared" si="68"/>
        <v>0</v>
      </c>
      <c r="AJ118" s="194">
        <f t="shared" si="68"/>
        <v>0</v>
      </c>
      <c r="AK118" s="194">
        <f t="shared" si="68"/>
        <v>0</v>
      </c>
      <c r="AL118" s="194">
        <f t="shared" si="68"/>
        <v>0</v>
      </c>
      <c r="AM118" s="194">
        <f t="shared" si="68"/>
        <v>0</v>
      </c>
      <c r="AN118" s="194">
        <f t="shared" si="68"/>
        <v>0</v>
      </c>
      <c r="AO118" s="194">
        <f t="shared" si="68"/>
        <v>0</v>
      </c>
      <c r="AP118" s="194">
        <f t="shared" si="68"/>
        <v>0</v>
      </c>
      <c r="AQ118" s="194">
        <f t="shared" si="68"/>
        <v>0</v>
      </c>
      <c r="AR118" s="194">
        <f t="shared" si="68"/>
        <v>0</v>
      </c>
      <c r="AS118" s="194">
        <f t="shared" si="68"/>
        <v>0</v>
      </c>
      <c r="AT118" s="98"/>
    </row>
    <row r="119" spans="17:46" x14ac:dyDescent="0.15">
      <c r="Q119" s="213"/>
      <c r="R119" s="100"/>
      <c r="S119" s="100"/>
      <c r="T119" s="100"/>
      <c r="U119" s="100"/>
      <c r="V119" s="100"/>
      <c r="W119" s="100"/>
      <c r="X119" s="100"/>
      <c r="Y119" s="100"/>
      <c r="Z119" s="143"/>
      <c r="AA119" s="145"/>
      <c r="AB119" s="200">
        <f>+AL108</f>
        <v>8</v>
      </c>
      <c r="AC119" s="201">
        <f>+AL109</f>
        <v>0</v>
      </c>
      <c r="AD119" s="194">
        <f t="shared" si="68"/>
        <v>0</v>
      </c>
      <c r="AE119" s="194">
        <f t="shared" si="68"/>
        <v>0</v>
      </c>
      <c r="AF119" s="194">
        <f t="shared" si="68"/>
        <v>0</v>
      </c>
      <c r="AG119" s="194">
        <f t="shared" si="68"/>
        <v>0</v>
      </c>
      <c r="AH119" s="194">
        <f t="shared" si="68"/>
        <v>0</v>
      </c>
      <c r="AI119" s="194">
        <f t="shared" si="68"/>
        <v>0</v>
      </c>
      <c r="AJ119" s="194">
        <f t="shared" si="68"/>
        <v>0</v>
      </c>
      <c r="AK119" s="194">
        <f t="shared" si="68"/>
        <v>0</v>
      </c>
      <c r="AL119" s="194">
        <f t="shared" si="68"/>
        <v>0</v>
      </c>
      <c r="AM119" s="194">
        <f t="shared" si="68"/>
        <v>0</v>
      </c>
      <c r="AN119" s="194">
        <f t="shared" si="68"/>
        <v>0</v>
      </c>
      <c r="AO119" s="194">
        <f t="shared" si="68"/>
        <v>0</v>
      </c>
      <c r="AP119" s="194">
        <f t="shared" si="68"/>
        <v>0</v>
      </c>
      <c r="AQ119" s="194">
        <f t="shared" si="68"/>
        <v>0</v>
      </c>
      <c r="AR119" s="194">
        <f t="shared" si="68"/>
        <v>0</v>
      </c>
      <c r="AS119" s="194">
        <f t="shared" si="68"/>
        <v>0</v>
      </c>
      <c r="AT119" s="98"/>
    </row>
    <row r="120" spans="17:46" x14ac:dyDescent="0.15">
      <c r="Q120" s="213"/>
      <c r="R120" s="100"/>
      <c r="S120" s="100"/>
      <c r="T120" s="100"/>
      <c r="U120" s="100"/>
      <c r="V120" s="100"/>
      <c r="W120" s="100"/>
      <c r="X120" s="100"/>
      <c r="Y120" s="100"/>
      <c r="Z120" s="143"/>
      <c r="AA120" s="145"/>
      <c r="AB120" s="200">
        <f>+AM108</f>
        <v>9</v>
      </c>
      <c r="AC120" s="201">
        <f>+AM109</f>
        <v>0</v>
      </c>
      <c r="AD120" s="194">
        <f t="shared" si="68"/>
        <v>0</v>
      </c>
      <c r="AE120" s="194">
        <f t="shared" si="68"/>
        <v>0</v>
      </c>
      <c r="AF120" s="194">
        <f t="shared" si="68"/>
        <v>0</v>
      </c>
      <c r="AG120" s="194">
        <f t="shared" si="68"/>
        <v>0</v>
      </c>
      <c r="AH120" s="194">
        <f t="shared" si="68"/>
        <v>0</v>
      </c>
      <c r="AI120" s="194">
        <f t="shared" si="68"/>
        <v>0</v>
      </c>
      <c r="AJ120" s="194">
        <f t="shared" si="68"/>
        <v>0</v>
      </c>
      <c r="AK120" s="194">
        <f t="shared" si="68"/>
        <v>0</v>
      </c>
      <c r="AL120" s="194">
        <f t="shared" si="68"/>
        <v>0</v>
      </c>
      <c r="AM120" s="194">
        <f t="shared" si="68"/>
        <v>0</v>
      </c>
      <c r="AN120" s="194">
        <f t="shared" si="68"/>
        <v>0</v>
      </c>
      <c r="AO120" s="194">
        <f t="shared" si="68"/>
        <v>0</v>
      </c>
      <c r="AP120" s="194">
        <f t="shared" si="68"/>
        <v>0</v>
      </c>
      <c r="AQ120" s="194">
        <f t="shared" si="68"/>
        <v>0</v>
      </c>
      <c r="AR120" s="194">
        <f t="shared" si="68"/>
        <v>0</v>
      </c>
      <c r="AS120" s="194">
        <f t="shared" si="68"/>
        <v>0</v>
      </c>
      <c r="AT120" s="98"/>
    </row>
    <row r="121" spans="17:46" x14ac:dyDescent="0.15">
      <c r="Q121" s="213"/>
      <c r="R121" s="100"/>
      <c r="S121" s="100"/>
      <c r="T121" s="100"/>
      <c r="U121" s="100"/>
      <c r="V121" s="100"/>
      <c r="W121" s="100"/>
      <c r="X121" s="100"/>
      <c r="Y121" s="100"/>
      <c r="Z121" s="191"/>
      <c r="AA121" s="145"/>
      <c r="AB121" s="200">
        <f>+AN108</f>
        <v>10</v>
      </c>
      <c r="AC121" s="201">
        <f>+AN109</f>
        <v>0</v>
      </c>
      <c r="AD121" s="194">
        <f t="shared" ref="AD121:AS126" si="69">IF(AD$108=$AB121,$AC121/$AB$107,IF(AD$108&gt;=$AB121+$AB$107,0,IF(AD$108&lt;$AB121,0,$AC121/$AB$107)))</f>
        <v>0</v>
      </c>
      <c r="AE121" s="194">
        <f t="shared" si="69"/>
        <v>0</v>
      </c>
      <c r="AF121" s="194">
        <f t="shared" si="69"/>
        <v>0</v>
      </c>
      <c r="AG121" s="194">
        <f t="shared" si="69"/>
        <v>0</v>
      </c>
      <c r="AH121" s="194">
        <f t="shared" si="69"/>
        <v>0</v>
      </c>
      <c r="AI121" s="194">
        <f t="shared" si="69"/>
        <v>0</v>
      </c>
      <c r="AJ121" s="194">
        <f t="shared" si="69"/>
        <v>0</v>
      </c>
      <c r="AK121" s="194">
        <f t="shared" si="69"/>
        <v>0</v>
      </c>
      <c r="AL121" s="194">
        <f t="shared" si="69"/>
        <v>0</v>
      </c>
      <c r="AM121" s="194">
        <f t="shared" si="69"/>
        <v>0</v>
      </c>
      <c r="AN121" s="194">
        <f t="shared" si="69"/>
        <v>0</v>
      </c>
      <c r="AO121" s="194">
        <f t="shared" si="69"/>
        <v>0</v>
      </c>
      <c r="AP121" s="194">
        <f t="shared" si="69"/>
        <v>0</v>
      </c>
      <c r="AQ121" s="194">
        <f t="shared" si="69"/>
        <v>0</v>
      </c>
      <c r="AR121" s="194">
        <f t="shared" si="69"/>
        <v>0</v>
      </c>
      <c r="AS121" s="194">
        <f t="shared" si="69"/>
        <v>0</v>
      </c>
      <c r="AT121" s="98"/>
    </row>
    <row r="122" spans="17:46" x14ac:dyDescent="0.15">
      <c r="Q122" s="213"/>
      <c r="R122" s="100"/>
      <c r="S122" s="100"/>
      <c r="T122" s="100"/>
      <c r="U122" s="100"/>
      <c r="V122" s="100"/>
      <c r="W122" s="100"/>
      <c r="X122" s="100"/>
      <c r="Y122" s="100"/>
      <c r="Z122" s="143"/>
      <c r="AA122" s="145"/>
      <c r="AB122" s="200">
        <f>+AO108</f>
        <v>11</v>
      </c>
      <c r="AC122" s="201">
        <f>+AO109</f>
        <v>0</v>
      </c>
      <c r="AD122" s="194">
        <f t="shared" si="69"/>
        <v>0</v>
      </c>
      <c r="AE122" s="194">
        <f t="shared" si="69"/>
        <v>0</v>
      </c>
      <c r="AF122" s="194">
        <f t="shared" si="69"/>
        <v>0</v>
      </c>
      <c r="AG122" s="194">
        <f t="shared" si="69"/>
        <v>0</v>
      </c>
      <c r="AH122" s="194">
        <f t="shared" si="69"/>
        <v>0</v>
      </c>
      <c r="AI122" s="194">
        <f t="shared" si="69"/>
        <v>0</v>
      </c>
      <c r="AJ122" s="194">
        <f t="shared" si="69"/>
        <v>0</v>
      </c>
      <c r="AK122" s="194">
        <f t="shared" si="69"/>
        <v>0</v>
      </c>
      <c r="AL122" s="194">
        <f t="shared" si="69"/>
        <v>0</v>
      </c>
      <c r="AM122" s="194">
        <f t="shared" si="69"/>
        <v>0</v>
      </c>
      <c r="AN122" s="194">
        <f t="shared" si="69"/>
        <v>0</v>
      </c>
      <c r="AO122" s="194">
        <f t="shared" si="69"/>
        <v>0</v>
      </c>
      <c r="AP122" s="194">
        <f t="shared" si="69"/>
        <v>0</v>
      </c>
      <c r="AQ122" s="194">
        <f t="shared" si="69"/>
        <v>0</v>
      </c>
      <c r="AR122" s="194">
        <f t="shared" si="69"/>
        <v>0</v>
      </c>
      <c r="AS122" s="194">
        <f t="shared" si="69"/>
        <v>0</v>
      </c>
      <c r="AT122" s="98"/>
    </row>
    <row r="123" spans="17:46" x14ac:dyDescent="0.15">
      <c r="Q123" s="213"/>
      <c r="R123" s="100"/>
      <c r="S123" s="100"/>
      <c r="T123" s="100"/>
      <c r="U123" s="100"/>
      <c r="V123" s="100"/>
      <c r="W123" s="100"/>
      <c r="X123" s="100"/>
      <c r="Y123" s="100"/>
      <c r="Z123" s="143"/>
      <c r="AA123" s="145"/>
      <c r="AB123" s="200">
        <f>+AP108</f>
        <v>12</v>
      </c>
      <c r="AC123" s="201">
        <f>+AP109</f>
        <v>0</v>
      </c>
      <c r="AD123" s="194">
        <f t="shared" si="69"/>
        <v>0</v>
      </c>
      <c r="AE123" s="194">
        <f t="shared" si="69"/>
        <v>0</v>
      </c>
      <c r="AF123" s="194">
        <f t="shared" si="69"/>
        <v>0</v>
      </c>
      <c r="AG123" s="194">
        <f t="shared" si="69"/>
        <v>0</v>
      </c>
      <c r="AH123" s="194">
        <f t="shared" si="69"/>
        <v>0</v>
      </c>
      <c r="AI123" s="194">
        <f t="shared" si="69"/>
        <v>0</v>
      </c>
      <c r="AJ123" s="194">
        <f t="shared" si="69"/>
        <v>0</v>
      </c>
      <c r="AK123" s="194">
        <f t="shared" si="69"/>
        <v>0</v>
      </c>
      <c r="AL123" s="194">
        <f t="shared" si="69"/>
        <v>0</v>
      </c>
      <c r="AM123" s="194">
        <f t="shared" si="69"/>
        <v>0</v>
      </c>
      <c r="AN123" s="194">
        <f t="shared" si="69"/>
        <v>0</v>
      </c>
      <c r="AO123" s="194">
        <f t="shared" si="69"/>
        <v>0</v>
      </c>
      <c r="AP123" s="194">
        <f t="shared" si="69"/>
        <v>0</v>
      </c>
      <c r="AQ123" s="194">
        <f t="shared" si="69"/>
        <v>0</v>
      </c>
      <c r="AR123" s="194">
        <f t="shared" si="69"/>
        <v>0</v>
      </c>
      <c r="AS123" s="194">
        <f t="shared" si="69"/>
        <v>0</v>
      </c>
      <c r="AT123" s="98"/>
    </row>
    <row r="124" spans="17:46" x14ac:dyDescent="0.15">
      <c r="Q124" s="213"/>
      <c r="R124" s="100"/>
      <c r="S124" s="100"/>
      <c r="T124" s="100"/>
      <c r="U124" s="100"/>
      <c r="V124" s="100"/>
      <c r="W124" s="100"/>
      <c r="X124" s="100"/>
      <c r="Y124" s="100"/>
      <c r="Z124" s="143"/>
      <c r="AA124" s="145"/>
      <c r="AB124" s="200">
        <f>+AQ108</f>
        <v>13</v>
      </c>
      <c r="AC124" s="201">
        <f>+AQ109</f>
        <v>0</v>
      </c>
      <c r="AD124" s="194">
        <f t="shared" si="69"/>
        <v>0</v>
      </c>
      <c r="AE124" s="194">
        <f t="shared" si="69"/>
        <v>0</v>
      </c>
      <c r="AF124" s="194">
        <f t="shared" si="69"/>
        <v>0</v>
      </c>
      <c r="AG124" s="194">
        <f t="shared" si="69"/>
        <v>0</v>
      </c>
      <c r="AH124" s="194">
        <f t="shared" si="69"/>
        <v>0</v>
      </c>
      <c r="AI124" s="194">
        <f t="shared" si="69"/>
        <v>0</v>
      </c>
      <c r="AJ124" s="194">
        <f t="shared" si="69"/>
        <v>0</v>
      </c>
      <c r="AK124" s="194">
        <f t="shared" si="69"/>
        <v>0</v>
      </c>
      <c r="AL124" s="194">
        <f t="shared" si="69"/>
        <v>0</v>
      </c>
      <c r="AM124" s="194">
        <f t="shared" si="69"/>
        <v>0</v>
      </c>
      <c r="AN124" s="194">
        <f t="shared" si="69"/>
        <v>0</v>
      </c>
      <c r="AO124" s="194">
        <f t="shared" si="69"/>
        <v>0</v>
      </c>
      <c r="AP124" s="194">
        <f t="shared" si="69"/>
        <v>0</v>
      </c>
      <c r="AQ124" s="194">
        <f t="shared" si="69"/>
        <v>0</v>
      </c>
      <c r="AR124" s="194">
        <f t="shared" si="69"/>
        <v>0</v>
      </c>
      <c r="AS124" s="194">
        <f t="shared" si="69"/>
        <v>0</v>
      </c>
      <c r="AT124" s="98"/>
    </row>
    <row r="125" spans="17:46" x14ac:dyDescent="0.15">
      <c r="Q125" s="213"/>
      <c r="R125" s="100"/>
      <c r="S125" s="100"/>
      <c r="T125" s="100"/>
      <c r="U125" s="100"/>
      <c r="V125" s="100"/>
      <c r="W125" s="100"/>
      <c r="X125" s="100"/>
      <c r="Y125" s="100"/>
      <c r="Z125" s="143"/>
      <c r="AA125" s="145"/>
      <c r="AB125" s="200">
        <f>+AR108</f>
        <v>14</v>
      </c>
      <c r="AC125" s="201">
        <f>+AR109</f>
        <v>0</v>
      </c>
      <c r="AD125" s="194">
        <f t="shared" si="69"/>
        <v>0</v>
      </c>
      <c r="AE125" s="194">
        <f t="shared" si="69"/>
        <v>0</v>
      </c>
      <c r="AF125" s="194">
        <f t="shared" si="69"/>
        <v>0</v>
      </c>
      <c r="AG125" s="194">
        <f t="shared" si="69"/>
        <v>0</v>
      </c>
      <c r="AH125" s="194">
        <f t="shared" si="69"/>
        <v>0</v>
      </c>
      <c r="AI125" s="194">
        <f t="shared" si="69"/>
        <v>0</v>
      </c>
      <c r="AJ125" s="194">
        <f t="shared" si="69"/>
        <v>0</v>
      </c>
      <c r="AK125" s="194">
        <f t="shared" si="69"/>
        <v>0</v>
      </c>
      <c r="AL125" s="194">
        <f t="shared" si="69"/>
        <v>0</v>
      </c>
      <c r="AM125" s="194">
        <f t="shared" si="69"/>
        <v>0</v>
      </c>
      <c r="AN125" s="194">
        <f t="shared" si="69"/>
        <v>0</v>
      </c>
      <c r="AO125" s="194">
        <f t="shared" si="69"/>
        <v>0</v>
      </c>
      <c r="AP125" s="194">
        <f t="shared" si="69"/>
        <v>0</v>
      </c>
      <c r="AQ125" s="194">
        <f t="shared" si="69"/>
        <v>0</v>
      </c>
      <c r="AR125" s="194">
        <f t="shared" si="69"/>
        <v>0</v>
      </c>
      <c r="AS125" s="194">
        <f t="shared" si="69"/>
        <v>0</v>
      </c>
      <c r="AT125" s="98"/>
    </row>
    <row r="126" spans="17:46" x14ac:dyDescent="0.15">
      <c r="Q126" s="213"/>
      <c r="R126" s="100"/>
      <c r="S126" s="100"/>
      <c r="T126" s="100"/>
      <c r="U126" s="100"/>
      <c r="V126" s="100"/>
      <c r="W126" s="100"/>
      <c r="X126" s="100"/>
      <c r="Y126" s="100"/>
      <c r="Z126" s="143"/>
      <c r="AA126" s="145"/>
      <c r="AB126" s="200">
        <f>+AS108</f>
        <v>15</v>
      </c>
      <c r="AC126" s="201">
        <f>+AS109</f>
        <v>0</v>
      </c>
      <c r="AD126" s="194">
        <f t="shared" si="69"/>
        <v>0</v>
      </c>
      <c r="AE126" s="194">
        <f t="shared" si="69"/>
        <v>0</v>
      </c>
      <c r="AF126" s="194">
        <f t="shared" si="69"/>
        <v>0</v>
      </c>
      <c r="AG126" s="194">
        <f t="shared" si="69"/>
        <v>0</v>
      </c>
      <c r="AH126" s="194">
        <f t="shared" si="69"/>
        <v>0</v>
      </c>
      <c r="AI126" s="194">
        <f t="shared" si="69"/>
        <v>0</v>
      </c>
      <c r="AJ126" s="194">
        <f t="shared" si="69"/>
        <v>0</v>
      </c>
      <c r="AK126" s="194">
        <f t="shared" si="69"/>
        <v>0</v>
      </c>
      <c r="AL126" s="194">
        <f t="shared" si="69"/>
        <v>0</v>
      </c>
      <c r="AM126" s="194">
        <f t="shared" si="69"/>
        <v>0</v>
      </c>
      <c r="AN126" s="194">
        <f t="shared" si="69"/>
        <v>0</v>
      </c>
      <c r="AO126" s="194">
        <f t="shared" si="69"/>
        <v>0</v>
      </c>
      <c r="AP126" s="194">
        <f t="shared" si="69"/>
        <v>0</v>
      </c>
      <c r="AQ126" s="194">
        <f t="shared" si="69"/>
        <v>0</v>
      </c>
      <c r="AR126" s="194">
        <f t="shared" si="69"/>
        <v>0</v>
      </c>
      <c r="AS126" s="194">
        <f t="shared" si="69"/>
        <v>0</v>
      </c>
      <c r="AT126" s="98"/>
    </row>
    <row r="127" spans="17:46" x14ac:dyDescent="0.15">
      <c r="Q127" s="213"/>
      <c r="R127" s="100"/>
      <c r="S127" s="100"/>
      <c r="T127" s="100"/>
      <c r="U127" s="100"/>
      <c r="V127" s="100"/>
      <c r="W127" s="100"/>
      <c r="X127" s="100"/>
      <c r="Y127" s="100"/>
      <c r="Z127" s="143"/>
      <c r="AA127" s="191" t="s">
        <v>16</v>
      </c>
      <c r="AB127" s="143"/>
      <c r="AC127" s="202"/>
      <c r="AD127" s="194">
        <f>IF(AD$108=$AB127,$AC127/$AB$107,IF(AD$108&gt;=$AB127+$AB$107,0,IF(AD$108&lt;$AB127,0,$AC127/$AB$107)))</f>
        <v>0</v>
      </c>
      <c r="AE127" s="194">
        <f t="shared" ref="AE127:AS127" si="70">+AE110-AE128</f>
        <v>16000</v>
      </c>
      <c r="AF127" s="194">
        <f t="shared" si="70"/>
        <v>12000</v>
      </c>
      <c r="AG127" s="194">
        <f t="shared" si="70"/>
        <v>8000</v>
      </c>
      <c r="AH127" s="194">
        <f t="shared" si="70"/>
        <v>4000</v>
      </c>
      <c r="AI127" s="194">
        <f t="shared" si="70"/>
        <v>0</v>
      </c>
      <c r="AJ127" s="194">
        <f t="shared" si="70"/>
        <v>0</v>
      </c>
      <c r="AK127" s="194">
        <f t="shared" si="70"/>
        <v>0</v>
      </c>
      <c r="AL127" s="194">
        <f t="shared" si="70"/>
        <v>0</v>
      </c>
      <c r="AM127" s="194">
        <f t="shared" si="70"/>
        <v>0</v>
      </c>
      <c r="AN127" s="194">
        <f t="shared" si="70"/>
        <v>0</v>
      </c>
      <c r="AO127" s="194">
        <f t="shared" si="70"/>
        <v>0</v>
      </c>
      <c r="AP127" s="194">
        <f t="shared" si="70"/>
        <v>0</v>
      </c>
      <c r="AQ127" s="194">
        <f t="shared" si="70"/>
        <v>0</v>
      </c>
      <c r="AR127" s="194">
        <f t="shared" si="70"/>
        <v>0</v>
      </c>
      <c r="AS127" s="194">
        <f t="shared" si="70"/>
        <v>0</v>
      </c>
      <c r="AT127" s="98"/>
    </row>
    <row r="128" spans="17:46" x14ac:dyDescent="0.15">
      <c r="Q128" s="213"/>
      <c r="R128" s="100"/>
      <c r="S128" s="100"/>
      <c r="T128" s="100"/>
      <c r="U128" s="100"/>
      <c r="V128" s="100"/>
      <c r="W128" s="100"/>
      <c r="X128" s="100"/>
      <c r="Y128" s="100"/>
      <c r="Z128" s="143"/>
      <c r="AA128" s="191" t="s">
        <v>10</v>
      </c>
      <c r="AB128" s="203"/>
      <c r="AC128" s="201"/>
      <c r="AD128" s="194"/>
      <c r="AE128" s="194">
        <f>+AE129+AD129</f>
        <v>4000</v>
      </c>
      <c r="AF128" s="194">
        <f t="shared" ref="AF128:AS128" si="71">+AF129+AE128</f>
        <v>8000</v>
      </c>
      <c r="AG128" s="194">
        <f t="shared" si="71"/>
        <v>12000</v>
      </c>
      <c r="AH128" s="194">
        <f t="shared" si="71"/>
        <v>16000</v>
      </c>
      <c r="AI128" s="194">
        <f t="shared" si="71"/>
        <v>20000</v>
      </c>
      <c r="AJ128" s="194">
        <f t="shared" si="71"/>
        <v>20000</v>
      </c>
      <c r="AK128" s="194">
        <f t="shared" si="71"/>
        <v>20000</v>
      </c>
      <c r="AL128" s="194">
        <f t="shared" si="71"/>
        <v>20000</v>
      </c>
      <c r="AM128" s="194">
        <f t="shared" si="71"/>
        <v>20000</v>
      </c>
      <c r="AN128" s="194">
        <f t="shared" si="71"/>
        <v>20000</v>
      </c>
      <c r="AO128" s="194">
        <f t="shared" si="71"/>
        <v>20000</v>
      </c>
      <c r="AP128" s="194">
        <f t="shared" si="71"/>
        <v>20000</v>
      </c>
      <c r="AQ128" s="194">
        <f t="shared" si="71"/>
        <v>20000</v>
      </c>
      <c r="AR128" s="194">
        <f t="shared" si="71"/>
        <v>20000</v>
      </c>
      <c r="AS128" s="194">
        <f t="shared" si="71"/>
        <v>20000</v>
      </c>
      <c r="AT128" s="98"/>
    </row>
    <row r="129" spans="17:46" x14ac:dyDescent="0.15">
      <c r="Q129" s="213"/>
      <c r="R129" s="100"/>
      <c r="S129" s="100"/>
      <c r="T129" s="100"/>
      <c r="U129" s="100"/>
      <c r="V129" s="100"/>
      <c r="W129" s="100"/>
      <c r="X129" s="100"/>
      <c r="Y129" s="100"/>
      <c r="Z129" s="204"/>
      <c r="AA129" s="191" t="s">
        <v>1</v>
      </c>
      <c r="AB129" s="204"/>
      <c r="AC129" s="205"/>
      <c r="AD129" s="194">
        <f>SUM(AD111:AD128)</f>
        <v>0</v>
      </c>
      <c r="AE129" s="194">
        <f t="shared" ref="AE129:AS129" si="72">SUM(AE111:AE126)</f>
        <v>4000</v>
      </c>
      <c r="AF129" s="194">
        <f t="shared" si="72"/>
        <v>4000</v>
      </c>
      <c r="AG129" s="194">
        <f t="shared" si="72"/>
        <v>4000</v>
      </c>
      <c r="AH129" s="194">
        <f t="shared" si="72"/>
        <v>4000</v>
      </c>
      <c r="AI129" s="194">
        <f t="shared" si="72"/>
        <v>4000</v>
      </c>
      <c r="AJ129" s="194">
        <f t="shared" si="72"/>
        <v>0</v>
      </c>
      <c r="AK129" s="194">
        <f t="shared" si="72"/>
        <v>0</v>
      </c>
      <c r="AL129" s="194">
        <f t="shared" si="72"/>
        <v>0</v>
      </c>
      <c r="AM129" s="194">
        <f t="shared" si="72"/>
        <v>0</v>
      </c>
      <c r="AN129" s="194">
        <f t="shared" si="72"/>
        <v>0</v>
      </c>
      <c r="AO129" s="194">
        <f t="shared" si="72"/>
        <v>0</v>
      </c>
      <c r="AP129" s="194">
        <f t="shared" si="72"/>
        <v>0</v>
      </c>
      <c r="AQ129" s="194">
        <f t="shared" si="72"/>
        <v>0</v>
      </c>
      <c r="AR129" s="194">
        <f t="shared" si="72"/>
        <v>0</v>
      </c>
      <c r="AS129" s="194">
        <f t="shared" si="72"/>
        <v>0</v>
      </c>
      <c r="AT129" s="98"/>
    </row>
    <row r="130" spans="17:46" x14ac:dyDescent="0.15">
      <c r="Q130" s="213"/>
      <c r="R130" s="100"/>
      <c r="S130" s="100"/>
      <c r="T130" s="100"/>
      <c r="U130" s="100"/>
      <c r="V130" s="100"/>
      <c r="W130" s="100"/>
      <c r="X130" s="100"/>
      <c r="Y130" s="100"/>
      <c r="Z130" s="143"/>
      <c r="AA130" s="143"/>
      <c r="AB130" s="143"/>
      <c r="AC130" s="202"/>
      <c r="AD130" s="143"/>
      <c r="AE130" s="143"/>
      <c r="AF130" s="143"/>
      <c r="AG130" s="143"/>
      <c r="AH130" s="143"/>
      <c r="AI130" s="143"/>
      <c r="AJ130" s="143"/>
      <c r="AK130" s="143"/>
      <c r="AL130" s="143"/>
      <c r="AM130" s="143"/>
      <c r="AN130" s="143"/>
      <c r="AO130" s="143"/>
      <c r="AP130" s="143"/>
      <c r="AQ130" s="143"/>
      <c r="AR130" s="143"/>
      <c r="AS130" s="143"/>
      <c r="AT130" s="98"/>
    </row>
    <row r="131" spans="17:46" x14ac:dyDescent="0.15">
      <c r="Q131" s="213"/>
      <c r="R131" s="100"/>
      <c r="S131" s="100"/>
      <c r="T131" s="100"/>
      <c r="U131" s="100"/>
      <c r="V131" s="100"/>
      <c r="W131" s="100"/>
      <c r="X131" s="100"/>
      <c r="Y131" s="100"/>
      <c r="Z131" s="143"/>
      <c r="AA131" s="143"/>
      <c r="AB131" s="178" t="s">
        <v>8</v>
      </c>
      <c r="AC131" s="179" t="s">
        <v>11</v>
      </c>
      <c r="AD131" s="143"/>
      <c r="AE131" s="143"/>
      <c r="AF131" s="143"/>
      <c r="AG131" s="143"/>
      <c r="AH131" s="143"/>
      <c r="AI131" s="143"/>
      <c r="AJ131" s="143"/>
      <c r="AK131" s="143"/>
      <c r="AL131" s="143"/>
      <c r="AM131" s="143"/>
      <c r="AN131" s="143"/>
      <c r="AO131" s="143"/>
      <c r="AP131" s="143"/>
      <c r="AQ131" s="143"/>
      <c r="AR131" s="143"/>
      <c r="AS131" s="143"/>
      <c r="AT131" s="98"/>
    </row>
    <row r="132" spans="17:46" x14ac:dyDescent="0.15">
      <c r="Q132" s="213"/>
      <c r="R132" s="100"/>
      <c r="S132" s="100"/>
      <c r="T132" s="100"/>
      <c r="U132" s="100"/>
      <c r="V132" s="100"/>
      <c r="W132" s="100"/>
      <c r="X132" s="100"/>
      <c r="Y132" s="100"/>
      <c r="Z132" s="143"/>
      <c r="AA132" s="180"/>
      <c r="AB132" s="181">
        <f>+I.InputData!E57</f>
        <v>7</v>
      </c>
      <c r="AC132" s="182">
        <f>1/AB132</f>
        <v>0.14285714285714285</v>
      </c>
      <c r="AD132" s="144">
        <f>+I.InputData!G11</f>
        <v>45292</v>
      </c>
      <c r="AE132" s="561" t="s">
        <v>33</v>
      </c>
      <c r="AF132" s="561"/>
      <c r="AG132" s="561"/>
      <c r="AH132" s="561"/>
      <c r="AI132" s="561"/>
      <c r="AJ132" s="561"/>
      <c r="AK132" s="561"/>
      <c r="AL132" s="561"/>
      <c r="AM132" s="561"/>
      <c r="AN132" s="562"/>
      <c r="AO132" s="183"/>
      <c r="AP132" s="183"/>
      <c r="AQ132" s="183"/>
      <c r="AR132" s="183"/>
      <c r="AS132" s="184"/>
      <c r="AT132" s="98"/>
    </row>
    <row r="133" spans="17:46" x14ac:dyDescent="0.15">
      <c r="Q133" s="213"/>
      <c r="R133" s="100"/>
      <c r="S133" s="100"/>
      <c r="T133" s="100"/>
      <c r="U133" s="100"/>
      <c r="V133" s="100"/>
      <c r="W133" s="100"/>
      <c r="X133" s="100"/>
      <c r="Y133" s="100"/>
      <c r="Z133" s="185"/>
      <c r="AA133" s="185"/>
      <c r="AB133" s="186"/>
      <c r="AC133" s="187"/>
      <c r="AD133" s="188">
        <v>0</v>
      </c>
      <c r="AE133" s="189">
        <v>1</v>
      </c>
      <c r="AF133" s="189">
        <v>2</v>
      </c>
      <c r="AG133" s="189">
        <v>3</v>
      </c>
      <c r="AH133" s="189">
        <v>4</v>
      </c>
      <c r="AI133" s="189">
        <v>5</v>
      </c>
      <c r="AJ133" s="189">
        <v>6</v>
      </c>
      <c r="AK133" s="189">
        <v>7</v>
      </c>
      <c r="AL133" s="189">
        <v>8</v>
      </c>
      <c r="AM133" s="189">
        <v>9</v>
      </c>
      <c r="AN133" s="189">
        <v>10</v>
      </c>
      <c r="AO133" s="190">
        <f>+AN133+1</f>
        <v>11</v>
      </c>
      <c r="AP133" s="190">
        <f>+AO133+1</f>
        <v>12</v>
      </c>
      <c r="AQ133" s="190">
        <f>+AP133+1</f>
        <v>13</v>
      </c>
      <c r="AR133" s="190">
        <f>+AQ133+1</f>
        <v>14</v>
      </c>
      <c r="AS133" s="190">
        <f>+AR133+1</f>
        <v>15</v>
      </c>
      <c r="AT133" s="98"/>
    </row>
    <row r="134" spans="17:46" x14ac:dyDescent="0.15">
      <c r="Q134" s="213"/>
      <c r="R134" s="100"/>
      <c r="S134" s="100"/>
      <c r="T134" s="100"/>
      <c r="U134" s="100"/>
      <c r="V134" s="100"/>
      <c r="W134" s="100"/>
      <c r="X134" s="100"/>
      <c r="Y134" s="100"/>
      <c r="Z134" s="143"/>
      <c r="AA134" s="191" t="str">
        <f>+SUPPORT!S103</f>
        <v>Total investment 7y</v>
      </c>
      <c r="AB134" s="192"/>
      <c r="AC134" s="193"/>
      <c r="AD134" s="194">
        <f t="shared" ref="AD134:AS134" si="73">AD103</f>
        <v>0</v>
      </c>
      <c r="AE134" s="194">
        <f t="shared" si="73"/>
        <v>0</v>
      </c>
      <c r="AF134" s="194">
        <f t="shared" si="73"/>
        <v>0</v>
      </c>
      <c r="AG134" s="194">
        <f t="shared" si="73"/>
        <v>0</v>
      </c>
      <c r="AH134" s="194">
        <f t="shared" si="73"/>
        <v>0</v>
      </c>
      <c r="AI134" s="194">
        <f t="shared" si="73"/>
        <v>0</v>
      </c>
      <c r="AJ134" s="194">
        <f t="shared" si="73"/>
        <v>0</v>
      </c>
      <c r="AK134" s="194">
        <f t="shared" si="73"/>
        <v>0</v>
      </c>
      <c r="AL134" s="194">
        <f t="shared" si="73"/>
        <v>0</v>
      </c>
      <c r="AM134" s="194">
        <f t="shared" si="73"/>
        <v>0</v>
      </c>
      <c r="AN134" s="194">
        <f t="shared" si="73"/>
        <v>0</v>
      </c>
      <c r="AO134" s="194">
        <f t="shared" si="73"/>
        <v>0</v>
      </c>
      <c r="AP134" s="194">
        <f t="shared" si="73"/>
        <v>0</v>
      </c>
      <c r="AQ134" s="194">
        <f t="shared" si="73"/>
        <v>0</v>
      </c>
      <c r="AR134" s="194">
        <f t="shared" si="73"/>
        <v>0</v>
      </c>
      <c r="AS134" s="194">
        <f t="shared" si="73"/>
        <v>0</v>
      </c>
      <c r="AT134" s="98"/>
    </row>
    <row r="135" spans="17:46" ht="14" thickBot="1" x14ac:dyDescent="0.2">
      <c r="Q135" s="213"/>
      <c r="R135" s="100"/>
      <c r="S135" s="100"/>
      <c r="T135" s="100"/>
      <c r="U135" s="100"/>
      <c r="V135" s="100"/>
      <c r="W135" s="100"/>
      <c r="X135" s="100"/>
      <c r="Y135" s="100"/>
      <c r="Z135" s="195"/>
      <c r="AA135" s="195" t="s">
        <v>17</v>
      </c>
      <c r="AB135" s="195"/>
      <c r="AC135" s="196"/>
      <c r="AD135" s="197">
        <f>+AD134</f>
        <v>0</v>
      </c>
      <c r="AE135" s="198">
        <f>+AE134+AD135</f>
        <v>0</v>
      </c>
      <c r="AF135" s="198">
        <f t="shared" ref="AF135:AS135" si="74">+AE135+AF134</f>
        <v>0</v>
      </c>
      <c r="AG135" s="198">
        <f t="shared" si="74"/>
        <v>0</v>
      </c>
      <c r="AH135" s="198">
        <f t="shared" si="74"/>
        <v>0</v>
      </c>
      <c r="AI135" s="198">
        <f t="shared" si="74"/>
        <v>0</v>
      </c>
      <c r="AJ135" s="198">
        <f t="shared" si="74"/>
        <v>0</v>
      </c>
      <c r="AK135" s="198">
        <f t="shared" si="74"/>
        <v>0</v>
      </c>
      <c r="AL135" s="198">
        <f t="shared" si="74"/>
        <v>0</v>
      </c>
      <c r="AM135" s="198">
        <f t="shared" si="74"/>
        <v>0</v>
      </c>
      <c r="AN135" s="198">
        <f t="shared" si="74"/>
        <v>0</v>
      </c>
      <c r="AO135" s="198">
        <f t="shared" si="74"/>
        <v>0</v>
      </c>
      <c r="AP135" s="198">
        <f t="shared" si="74"/>
        <v>0</v>
      </c>
      <c r="AQ135" s="198">
        <f t="shared" si="74"/>
        <v>0</v>
      </c>
      <c r="AR135" s="198">
        <f t="shared" si="74"/>
        <v>0</v>
      </c>
      <c r="AS135" s="198">
        <f t="shared" si="74"/>
        <v>0</v>
      </c>
      <c r="AT135" s="98"/>
    </row>
    <row r="136" spans="17:46" ht="14" thickTop="1" x14ac:dyDescent="0.15">
      <c r="Q136" s="213"/>
      <c r="R136" s="100"/>
      <c r="S136" s="100"/>
      <c r="T136" s="100"/>
      <c r="U136" s="100"/>
      <c r="V136" s="100"/>
      <c r="W136" s="100"/>
      <c r="X136" s="100"/>
      <c r="Y136" s="100"/>
      <c r="Z136" s="143"/>
      <c r="AA136" s="199"/>
      <c r="AB136" s="200">
        <f>+AD133</f>
        <v>0</v>
      </c>
      <c r="AC136" s="201">
        <f>+AD135</f>
        <v>0</v>
      </c>
      <c r="AD136" s="194">
        <f t="shared" ref="AD136:AS145" si="75">IF(AD$133=$AB136,$AC136/$AB$132,IF(AD$133&gt;=$AB136+$AB$132,0,IF(AD$133&lt;$AB136,0,$AC136/$AB$132)))</f>
        <v>0</v>
      </c>
      <c r="AE136" s="194">
        <f t="shared" si="75"/>
        <v>0</v>
      </c>
      <c r="AF136" s="194">
        <f t="shared" si="75"/>
        <v>0</v>
      </c>
      <c r="AG136" s="194">
        <f t="shared" si="75"/>
        <v>0</v>
      </c>
      <c r="AH136" s="194">
        <f t="shared" si="75"/>
        <v>0</v>
      </c>
      <c r="AI136" s="194">
        <f t="shared" si="75"/>
        <v>0</v>
      </c>
      <c r="AJ136" s="194">
        <f t="shared" si="75"/>
        <v>0</v>
      </c>
      <c r="AK136" s="194">
        <f t="shared" si="75"/>
        <v>0</v>
      </c>
      <c r="AL136" s="194">
        <f t="shared" si="75"/>
        <v>0</v>
      </c>
      <c r="AM136" s="194">
        <f t="shared" si="75"/>
        <v>0</v>
      </c>
      <c r="AN136" s="194">
        <f t="shared" si="75"/>
        <v>0</v>
      </c>
      <c r="AO136" s="194">
        <f t="shared" si="75"/>
        <v>0</v>
      </c>
      <c r="AP136" s="194">
        <f t="shared" si="75"/>
        <v>0</v>
      </c>
      <c r="AQ136" s="194">
        <f t="shared" si="75"/>
        <v>0</v>
      </c>
      <c r="AR136" s="194">
        <f t="shared" si="75"/>
        <v>0</v>
      </c>
      <c r="AS136" s="194">
        <f t="shared" si="75"/>
        <v>0</v>
      </c>
      <c r="AT136" s="98"/>
    </row>
    <row r="137" spans="17:46" x14ac:dyDescent="0.15">
      <c r="Q137" s="213"/>
      <c r="R137" s="100"/>
      <c r="S137" s="100"/>
      <c r="T137" s="100"/>
      <c r="U137" s="100"/>
      <c r="V137" s="100"/>
      <c r="W137" s="100"/>
      <c r="X137" s="100"/>
      <c r="Y137" s="100"/>
      <c r="Z137" s="143"/>
      <c r="AA137" s="143"/>
      <c r="AB137" s="200">
        <f>+AE133</f>
        <v>1</v>
      </c>
      <c r="AC137" s="201">
        <f>+AE134</f>
        <v>0</v>
      </c>
      <c r="AD137" s="194">
        <f t="shared" si="75"/>
        <v>0</v>
      </c>
      <c r="AE137" s="194">
        <f t="shared" si="75"/>
        <v>0</v>
      </c>
      <c r="AF137" s="194">
        <f t="shared" si="75"/>
        <v>0</v>
      </c>
      <c r="AG137" s="194">
        <f t="shared" si="75"/>
        <v>0</v>
      </c>
      <c r="AH137" s="194">
        <f t="shared" si="75"/>
        <v>0</v>
      </c>
      <c r="AI137" s="194">
        <f t="shared" si="75"/>
        <v>0</v>
      </c>
      <c r="AJ137" s="194">
        <f t="shared" si="75"/>
        <v>0</v>
      </c>
      <c r="AK137" s="194">
        <f t="shared" si="75"/>
        <v>0</v>
      </c>
      <c r="AL137" s="194">
        <f t="shared" si="75"/>
        <v>0</v>
      </c>
      <c r="AM137" s="194">
        <f t="shared" si="75"/>
        <v>0</v>
      </c>
      <c r="AN137" s="194">
        <f t="shared" si="75"/>
        <v>0</v>
      </c>
      <c r="AO137" s="194">
        <f t="shared" si="75"/>
        <v>0</v>
      </c>
      <c r="AP137" s="194">
        <f t="shared" si="75"/>
        <v>0</v>
      </c>
      <c r="AQ137" s="194">
        <f t="shared" si="75"/>
        <v>0</v>
      </c>
      <c r="AR137" s="194">
        <f t="shared" si="75"/>
        <v>0</v>
      </c>
      <c r="AS137" s="194">
        <f t="shared" si="75"/>
        <v>0</v>
      </c>
      <c r="AT137" s="98"/>
    </row>
    <row r="138" spans="17:46" x14ac:dyDescent="0.15">
      <c r="Q138" s="213"/>
      <c r="R138" s="100"/>
      <c r="S138" s="100"/>
      <c r="T138" s="100"/>
      <c r="U138" s="100"/>
      <c r="V138" s="100"/>
      <c r="W138" s="100"/>
      <c r="X138" s="100"/>
      <c r="Y138" s="100"/>
      <c r="Z138" s="143"/>
      <c r="AA138" s="143"/>
      <c r="AB138" s="200">
        <f>+AF133</f>
        <v>2</v>
      </c>
      <c r="AC138" s="201">
        <f>+AF134</f>
        <v>0</v>
      </c>
      <c r="AD138" s="194">
        <f t="shared" si="75"/>
        <v>0</v>
      </c>
      <c r="AE138" s="194">
        <f t="shared" si="75"/>
        <v>0</v>
      </c>
      <c r="AF138" s="194">
        <f t="shared" si="75"/>
        <v>0</v>
      </c>
      <c r="AG138" s="194">
        <f t="shared" si="75"/>
        <v>0</v>
      </c>
      <c r="AH138" s="194">
        <f t="shared" si="75"/>
        <v>0</v>
      </c>
      <c r="AI138" s="194">
        <f t="shared" si="75"/>
        <v>0</v>
      </c>
      <c r="AJ138" s="194">
        <f t="shared" si="75"/>
        <v>0</v>
      </c>
      <c r="AK138" s="194">
        <f t="shared" si="75"/>
        <v>0</v>
      </c>
      <c r="AL138" s="194">
        <f t="shared" si="75"/>
        <v>0</v>
      </c>
      <c r="AM138" s="194">
        <f t="shared" si="75"/>
        <v>0</v>
      </c>
      <c r="AN138" s="194">
        <f t="shared" si="75"/>
        <v>0</v>
      </c>
      <c r="AO138" s="194">
        <f t="shared" si="75"/>
        <v>0</v>
      </c>
      <c r="AP138" s="194">
        <f t="shared" si="75"/>
        <v>0</v>
      </c>
      <c r="AQ138" s="194">
        <f t="shared" si="75"/>
        <v>0</v>
      </c>
      <c r="AR138" s="194">
        <f t="shared" si="75"/>
        <v>0</v>
      </c>
      <c r="AS138" s="194">
        <f t="shared" si="75"/>
        <v>0</v>
      </c>
      <c r="AT138" s="98"/>
    </row>
    <row r="139" spans="17:46" x14ac:dyDescent="0.15">
      <c r="Q139" s="213"/>
      <c r="R139" s="100"/>
      <c r="S139" s="100"/>
      <c r="T139" s="100"/>
      <c r="U139" s="100"/>
      <c r="V139" s="100"/>
      <c r="W139" s="100"/>
      <c r="X139" s="100"/>
      <c r="Y139" s="100"/>
      <c r="Z139" s="143"/>
      <c r="AA139" s="143"/>
      <c r="AB139" s="200">
        <f>+AG133</f>
        <v>3</v>
      </c>
      <c r="AC139" s="201">
        <f>+AG134</f>
        <v>0</v>
      </c>
      <c r="AD139" s="194">
        <f t="shared" si="75"/>
        <v>0</v>
      </c>
      <c r="AE139" s="194">
        <f t="shared" si="75"/>
        <v>0</v>
      </c>
      <c r="AF139" s="194">
        <f t="shared" si="75"/>
        <v>0</v>
      </c>
      <c r="AG139" s="194">
        <f t="shared" si="75"/>
        <v>0</v>
      </c>
      <c r="AH139" s="194">
        <f t="shared" si="75"/>
        <v>0</v>
      </c>
      <c r="AI139" s="194">
        <f t="shared" si="75"/>
        <v>0</v>
      </c>
      <c r="AJ139" s="194">
        <f t="shared" si="75"/>
        <v>0</v>
      </c>
      <c r="AK139" s="194">
        <f t="shared" si="75"/>
        <v>0</v>
      </c>
      <c r="AL139" s="194">
        <f t="shared" si="75"/>
        <v>0</v>
      </c>
      <c r="AM139" s="194">
        <f t="shared" si="75"/>
        <v>0</v>
      </c>
      <c r="AN139" s="194">
        <f t="shared" si="75"/>
        <v>0</v>
      </c>
      <c r="AO139" s="194">
        <f t="shared" si="75"/>
        <v>0</v>
      </c>
      <c r="AP139" s="194">
        <f t="shared" si="75"/>
        <v>0</v>
      </c>
      <c r="AQ139" s="194">
        <f t="shared" si="75"/>
        <v>0</v>
      </c>
      <c r="AR139" s="194">
        <f t="shared" si="75"/>
        <v>0</v>
      </c>
      <c r="AS139" s="194">
        <f t="shared" si="75"/>
        <v>0</v>
      </c>
      <c r="AT139" s="98"/>
    </row>
    <row r="140" spans="17:46" x14ac:dyDescent="0.15">
      <c r="Q140" s="213"/>
      <c r="R140" s="100"/>
      <c r="S140" s="100"/>
      <c r="T140" s="100"/>
      <c r="U140" s="100"/>
      <c r="V140" s="100"/>
      <c r="W140" s="100"/>
      <c r="X140" s="100"/>
      <c r="Y140" s="100"/>
      <c r="Z140" s="143"/>
      <c r="AA140" s="143"/>
      <c r="AB140" s="200">
        <f>+AH133</f>
        <v>4</v>
      </c>
      <c r="AC140" s="201">
        <f>+AH134</f>
        <v>0</v>
      </c>
      <c r="AD140" s="194">
        <f t="shared" si="75"/>
        <v>0</v>
      </c>
      <c r="AE140" s="194">
        <f t="shared" si="75"/>
        <v>0</v>
      </c>
      <c r="AF140" s="194">
        <f t="shared" si="75"/>
        <v>0</v>
      </c>
      <c r="AG140" s="194">
        <f t="shared" si="75"/>
        <v>0</v>
      </c>
      <c r="AH140" s="194">
        <f t="shared" si="75"/>
        <v>0</v>
      </c>
      <c r="AI140" s="194">
        <f t="shared" si="75"/>
        <v>0</v>
      </c>
      <c r="AJ140" s="194">
        <f t="shared" si="75"/>
        <v>0</v>
      </c>
      <c r="AK140" s="194">
        <f t="shared" si="75"/>
        <v>0</v>
      </c>
      <c r="AL140" s="194">
        <f t="shared" si="75"/>
        <v>0</v>
      </c>
      <c r="AM140" s="194">
        <f t="shared" si="75"/>
        <v>0</v>
      </c>
      <c r="AN140" s="194">
        <f t="shared" si="75"/>
        <v>0</v>
      </c>
      <c r="AO140" s="194">
        <f t="shared" si="75"/>
        <v>0</v>
      </c>
      <c r="AP140" s="194">
        <f t="shared" si="75"/>
        <v>0</v>
      </c>
      <c r="AQ140" s="194">
        <f t="shared" si="75"/>
        <v>0</v>
      </c>
      <c r="AR140" s="194">
        <f t="shared" si="75"/>
        <v>0</v>
      </c>
      <c r="AS140" s="194">
        <f t="shared" si="75"/>
        <v>0</v>
      </c>
      <c r="AT140" s="98"/>
    </row>
    <row r="141" spans="17:46" x14ac:dyDescent="0.15">
      <c r="Q141" s="213"/>
      <c r="R141" s="100"/>
      <c r="S141" s="100"/>
      <c r="T141" s="100"/>
      <c r="U141" s="100"/>
      <c r="V141" s="100"/>
      <c r="W141" s="100"/>
      <c r="X141" s="100"/>
      <c r="Y141" s="100"/>
      <c r="Z141" s="143"/>
      <c r="AA141" s="143"/>
      <c r="AB141" s="200">
        <f>+AI133</f>
        <v>5</v>
      </c>
      <c r="AC141" s="201">
        <f>+AI134</f>
        <v>0</v>
      </c>
      <c r="AD141" s="194">
        <f t="shared" si="75"/>
        <v>0</v>
      </c>
      <c r="AE141" s="194">
        <f t="shared" si="75"/>
        <v>0</v>
      </c>
      <c r="AF141" s="194">
        <f t="shared" si="75"/>
        <v>0</v>
      </c>
      <c r="AG141" s="194">
        <f t="shared" si="75"/>
        <v>0</v>
      </c>
      <c r="AH141" s="194">
        <f t="shared" si="75"/>
        <v>0</v>
      </c>
      <c r="AI141" s="194">
        <f t="shared" si="75"/>
        <v>0</v>
      </c>
      <c r="AJ141" s="194">
        <f t="shared" si="75"/>
        <v>0</v>
      </c>
      <c r="AK141" s="194">
        <f t="shared" si="75"/>
        <v>0</v>
      </c>
      <c r="AL141" s="194">
        <f t="shared" si="75"/>
        <v>0</v>
      </c>
      <c r="AM141" s="194">
        <f t="shared" si="75"/>
        <v>0</v>
      </c>
      <c r="AN141" s="194">
        <f t="shared" si="75"/>
        <v>0</v>
      </c>
      <c r="AO141" s="194">
        <f t="shared" si="75"/>
        <v>0</v>
      </c>
      <c r="AP141" s="194">
        <f t="shared" si="75"/>
        <v>0</v>
      </c>
      <c r="AQ141" s="194">
        <f t="shared" si="75"/>
        <v>0</v>
      </c>
      <c r="AR141" s="194">
        <f t="shared" si="75"/>
        <v>0</v>
      </c>
      <c r="AS141" s="194">
        <f t="shared" si="75"/>
        <v>0</v>
      </c>
      <c r="AT141" s="98"/>
    </row>
    <row r="142" spans="17:46" x14ac:dyDescent="0.15">
      <c r="Q142" s="213"/>
      <c r="R142" s="100"/>
      <c r="S142" s="100"/>
      <c r="T142" s="100"/>
      <c r="U142" s="100"/>
      <c r="V142" s="100"/>
      <c r="W142" s="100"/>
      <c r="X142" s="100"/>
      <c r="Y142" s="100"/>
      <c r="Z142" s="143"/>
      <c r="AA142" s="143"/>
      <c r="AB142" s="200">
        <f>+AJ133</f>
        <v>6</v>
      </c>
      <c r="AC142" s="201">
        <f>+AJ134</f>
        <v>0</v>
      </c>
      <c r="AD142" s="194">
        <f t="shared" si="75"/>
        <v>0</v>
      </c>
      <c r="AE142" s="194">
        <f t="shared" si="75"/>
        <v>0</v>
      </c>
      <c r="AF142" s="194">
        <f t="shared" si="75"/>
        <v>0</v>
      </c>
      <c r="AG142" s="194">
        <f t="shared" si="75"/>
        <v>0</v>
      </c>
      <c r="AH142" s="194">
        <f t="shared" si="75"/>
        <v>0</v>
      </c>
      <c r="AI142" s="194">
        <f t="shared" si="75"/>
        <v>0</v>
      </c>
      <c r="AJ142" s="194">
        <f t="shared" si="75"/>
        <v>0</v>
      </c>
      <c r="AK142" s="194">
        <f t="shared" si="75"/>
        <v>0</v>
      </c>
      <c r="AL142" s="194">
        <f t="shared" si="75"/>
        <v>0</v>
      </c>
      <c r="AM142" s="194">
        <f t="shared" si="75"/>
        <v>0</v>
      </c>
      <c r="AN142" s="194">
        <f t="shared" si="75"/>
        <v>0</v>
      </c>
      <c r="AO142" s="194">
        <f t="shared" si="75"/>
        <v>0</v>
      </c>
      <c r="AP142" s="194">
        <f t="shared" si="75"/>
        <v>0</v>
      </c>
      <c r="AQ142" s="194">
        <f t="shared" si="75"/>
        <v>0</v>
      </c>
      <c r="AR142" s="194">
        <f t="shared" si="75"/>
        <v>0</v>
      </c>
      <c r="AS142" s="194">
        <f t="shared" si="75"/>
        <v>0</v>
      </c>
      <c r="AT142" s="98"/>
    </row>
    <row r="143" spans="17:46" x14ac:dyDescent="0.15">
      <c r="Q143" s="213"/>
      <c r="R143" s="100"/>
      <c r="S143" s="100"/>
      <c r="T143" s="100"/>
      <c r="U143" s="100"/>
      <c r="V143" s="100"/>
      <c r="W143" s="100"/>
      <c r="X143" s="100"/>
      <c r="Y143" s="100"/>
      <c r="Z143" s="143"/>
      <c r="AA143" s="143"/>
      <c r="AB143" s="200">
        <f>+AK133</f>
        <v>7</v>
      </c>
      <c r="AC143" s="201">
        <f>+AK134</f>
        <v>0</v>
      </c>
      <c r="AD143" s="194">
        <f t="shared" si="75"/>
        <v>0</v>
      </c>
      <c r="AE143" s="194">
        <f t="shared" si="75"/>
        <v>0</v>
      </c>
      <c r="AF143" s="194">
        <f t="shared" si="75"/>
        <v>0</v>
      </c>
      <c r="AG143" s="194">
        <f t="shared" si="75"/>
        <v>0</v>
      </c>
      <c r="AH143" s="194">
        <f t="shared" si="75"/>
        <v>0</v>
      </c>
      <c r="AI143" s="194">
        <f t="shared" si="75"/>
        <v>0</v>
      </c>
      <c r="AJ143" s="194">
        <f t="shared" si="75"/>
        <v>0</v>
      </c>
      <c r="AK143" s="194">
        <f t="shared" si="75"/>
        <v>0</v>
      </c>
      <c r="AL143" s="194">
        <f t="shared" si="75"/>
        <v>0</v>
      </c>
      <c r="AM143" s="194">
        <f t="shared" si="75"/>
        <v>0</v>
      </c>
      <c r="AN143" s="194">
        <f t="shared" si="75"/>
        <v>0</v>
      </c>
      <c r="AO143" s="194">
        <f t="shared" si="75"/>
        <v>0</v>
      </c>
      <c r="AP143" s="194">
        <f t="shared" si="75"/>
        <v>0</v>
      </c>
      <c r="AQ143" s="194">
        <f t="shared" si="75"/>
        <v>0</v>
      </c>
      <c r="AR143" s="194">
        <f t="shared" si="75"/>
        <v>0</v>
      </c>
      <c r="AS143" s="194">
        <f t="shared" si="75"/>
        <v>0</v>
      </c>
      <c r="AT143" s="98"/>
    </row>
    <row r="144" spans="17:46" x14ac:dyDescent="0.15">
      <c r="Q144" s="213"/>
      <c r="R144" s="100"/>
      <c r="S144" s="100"/>
      <c r="T144" s="100"/>
      <c r="U144" s="100"/>
      <c r="V144" s="100"/>
      <c r="W144" s="100"/>
      <c r="X144" s="100"/>
      <c r="Y144" s="100"/>
      <c r="Z144" s="143"/>
      <c r="AA144" s="143"/>
      <c r="AB144" s="200">
        <f>+AL133</f>
        <v>8</v>
      </c>
      <c r="AC144" s="201">
        <f>+AL134</f>
        <v>0</v>
      </c>
      <c r="AD144" s="194">
        <f t="shared" si="75"/>
        <v>0</v>
      </c>
      <c r="AE144" s="194">
        <f t="shared" si="75"/>
        <v>0</v>
      </c>
      <c r="AF144" s="194">
        <f t="shared" si="75"/>
        <v>0</v>
      </c>
      <c r="AG144" s="194">
        <f t="shared" si="75"/>
        <v>0</v>
      </c>
      <c r="AH144" s="194">
        <f t="shared" si="75"/>
        <v>0</v>
      </c>
      <c r="AI144" s="194">
        <f t="shared" si="75"/>
        <v>0</v>
      </c>
      <c r="AJ144" s="194">
        <f t="shared" si="75"/>
        <v>0</v>
      </c>
      <c r="AK144" s="194">
        <f t="shared" si="75"/>
        <v>0</v>
      </c>
      <c r="AL144" s="194">
        <f t="shared" si="75"/>
        <v>0</v>
      </c>
      <c r="AM144" s="194">
        <f t="shared" si="75"/>
        <v>0</v>
      </c>
      <c r="AN144" s="194">
        <f t="shared" si="75"/>
        <v>0</v>
      </c>
      <c r="AO144" s="194">
        <f t="shared" si="75"/>
        <v>0</v>
      </c>
      <c r="AP144" s="194">
        <f t="shared" si="75"/>
        <v>0</v>
      </c>
      <c r="AQ144" s="194">
        <f t="shared" si="75"/>
        <v>0</v>
      </c>
      <c r="AR144" s="194">
        <f t="shared" si="75"/>
        <v>0</v>
      </c>
      <c r="AS144" s="194">
        <f t="shared" si="75"/>
        <v>0</v>
      </c>
      <c r="AT144" s="98"/>
    </row>
    <row r="145" spans="17:46" x14ac:dyDescent="0.15">
      <c r="Q145" s="213"/>
      <c r="R145" s="100"/>
      <c r="S145" s="100"/>
      <c r="T145" s="100"/>
      <c r="U145" s="100"/>
      <c r="V145" s="100"/>
      <c r="W145" s="100"/>
      <c r="X145" s="100"/>
      <c r="Y145" s="100"/>
      <c r="Z145" s="143"/>
      <c r="AA145" s="143"/>
      <c r="AB145" s="200">
        <f>+AM133</f>
        <v>9</v>
      </c>
      <c r="AC145" s="201">
        <f>+AM134</f>
        <v>0</v>
      </c>
      <c r="AD145" s="194">
        <f t="shared" si="75"/>
        <v>0</v>
      </c>
      <c r="AE145" s="194">
        <f t="shared" si="75"/>
        <v>0</v>
      </c>
      <c r="AF145" s="194">
        <f t="shared" si="75"/>
        <v>0</v>
      </c>
      <c r="AG145" s="194">
        <f t="shared" si="75"/>
        <v>0</v>
      </c>
      <c r="AH145" s="194">
        <f t="shared" si="75"/>
        <v>0</v>
      </c>
      <c r="AI145" s="194">
        <f t="shared" si="75"/>
        <v>0</v>
      </c>
      <c r="AJ145" s="194">
        <f t="shared" si="75"/>
        <v>0</v>
      </c>
      <c r="AK145" s="194">
        <f t="shared" si="75"/>
        <v>0</v>
      </c>
      <c r="AL145" s="194">
        <f t="shared" si="75"/>
        <v>0</v>
      </c>
      <c r="AM145" s="194">
        <f t="shared" si="75"/>
        <v>0</v>
      </c>
      <c r="AN145" s="194">
        <f t="shared" si="75"/>
        <v>0</v>
      </c>
      <c r="AO145" s="194">
        <f t="shared" si="75"/>
        <v>0</v>
      </c>
      <c r="AP145" s="194">
        <f t="shared" si="75"/>
        <v>0</v>
      </c>
      <c r="AQ145" s="194">
        <f t="shared" si="75"/>
        <v>0</v>
      </c>
      <c r="AR145" s="194">
        <f t="shared" si="75"/>
        <v>0</v>
      </c>
      <c r="AS145" s="194">
        <f t="shared" si="75"/>
        <v>0</v>
      </c>
      <c r="AT145" s="98"/>
    </row>
    <row r="146" spans="17:46" x14ac:dyDescent="0.15">
      <c r="Q146" s="213"/>
      <c r="R146" s="100"/>
      <c r="S146" s="100"/>
      <c r="T146" s="100"/>
      <c r="U146" s="100"/>
      <c r="V146" s="100"/>
      <c r="W146" s="100"/>
      <c r="X146" s="100"/>
      <c r="Y146" s="100"/>
      <c r="Z146" s="191"/>
      <c r="AA146" s="143"/>
      <c r="AB146" s="200">
        <f>+AN133</f>
        <v>10</v>
      </c>
      <c r="AC146" s="201">
        <f>+AN134</f>
        <v>0</v>
      </c>
      <c r="AD146" s="194">
        <f t="shared" ref="AD146:AS151" si="76">IF(AD$133=$AB146,$AC146/$AB$132,IF(AD$133&gt;=$AB146+$AB$132,0,IF(AD$133&lt;$AB146,0,$AC146/$AB$132)))</f>
        <v>0</v>
      </c>
      <c r="AE146" s="194">
        <f t="shared" si="76"/>
        <v>0</v>
      </c>
      <c r="AF146" s="194">
        <f t="shared" si="76"/>
        <v>0</v>
      </c>
      <c r="AG146" s="194">
        <f t="shared" si="76"/>
        <v>0</v>
      </c>
      <c r="AH146" s="194">
        <f t="shared" si="76"/>
        <v>0</v>
      </c>
      <c r="AI146" s="194">
        <f t="shared" si="76"/>
        <v>0</v>
      </c>
      <c r="AJ146" s="194">
        <f t="shared" si="76"/>
        <v>0</v>
      </c>
      <c r="AK146" s="194">
        <f t="shared" si="76"/>
        <v>0</v>
      </c>
      <c r="AL146" s="194">
        <f t="shared" si="76"/>
        <v>0</v>
      </c>
      <c r="AM146" s="194">
        <f t="shared" si="76"/>
        <v>0</v>
      </c>
      <c r="AN146" s="194">
        <f t="shared" si="76"/>
        <v>0</v>
      </c>
      <c r="AO146" s="194">
        <f t="shared" si="76"/>
        <v>0</v>
      </c>
      <c r="AP146" s="194">
        <f t="shared" si="76"/>
        <v>0</v>
      </c>
      <c r="AQ146" s="194">
        <f t="shared" si="76"/>
        <v>0</v>
      </c>
      <c r="AR146" s="194">
        <f t="shared" si="76"/>
        <v>0</v>
      </c>
      <c r="AS146" s="194">
        <f t="shared" si="76"/>
        <v>0</v>
      </c>
      <c r="AT146" s="98"/>
    </row>
    <row r="147" spans="17:46" x14ac:dyDescent="0.15">
      <c r="Q147" s="213"/>
      <c r="R147" s="100"/>
      <c r="S147" s="100"/>
      <c r="T147" s="100"/>
      <c r="U147" s="100"/>
      <c r="V147" s="100"/>
      <c r="W147" s="100"/>
      <c r="X147" s="100"/>
      <c r="Y147" s="100"/>
      <c r="Z147" s="143"/>
      <c r="AA147" s="143"/>
      <c r="AB147" s="200">
        <f>+AO133</f>
        <v>11</v>
      </c>
      <c r="AC147" s="201">
        <f>+AO134</f>
        <v>0</v>
      </c>
      <c r="AD147" s="194">
        <f t="shared" si="76"/>
        <v>0</v>
      </c>
      <c r="AE147" s="194">
        <f t="shared" si="76"/>
        <v>0</v>
      </c>
      <c r="AF147" s="194">
        <f t="shared" si="76"/>
        <v>0</v>
      </c>
      <c r="AG147" s="194">
        <f t="shared" si="76"/>
        <v>0</v>
      </c>
      <c r="AH147" s="194">
        <f t="shared" si="76"/>
        <v>0</v>
      </c>
      <c r="AI147" s="194">
        <f t="shared" si="76"/>
        <v>0</v>
      </c>
      <c r="AJ147" s="194">
        <f t="shared" si="76"/>
        <v>0</v>
      </c>
      <c r="AK147" s="194">
        <f t="shared" si="76"/>
        <v>0</v>
      </c>
      <c r="AL147" s="194">
        <f t="shared" si="76"/>
        <v>0</v>
      </c>
      <c r="AM147" s="194">
        <f t="shared" si="76"/>
        <v>0</v>
      </c>
      <c r="AN147" s="194">
        <f t="shared" si="76"/>
        <v>0</v>
      </c>
      <c r="AO147" s="194">
        <f t="shared" si="76"/>
        <v>0</v>
      </c>
      <c r="AP147" s="194">
        <f t="shared" si="76"/>
        <v>0</v>
      </c>
      <c r="AQ147" s="194">
        <f t="shared" si="76"/>
        <v>0</v>
      </c>
      <c r="AR147" s="194">
        <f t="shared" si="76"/>
        <v>0</v>
      </c>
      <c r="AS147" s="194">
        <f t="shared" si="76"/>
        <v>0</v>
      </c>
      <c r="AT147" s="98"/>
    </row>
    <row r="148" spans="17:46" x14ac:dyDescent="0.15">
      <c r="Q148" s="213"/>
      <c r="R148" s="100"/>
      <c r="S148" s="100"/>
      <c r="T148" s="100"/>
      <c r="U148" s="100"/>
      <c r="V148" s="100"/>
      <c r="W148" s="100"/>
      <c r="X148" s="100"/>
      <c r="Y148" s="100"/>
      <c r="Z148" s="143"/>
      <c r="AA148" s="143"/>
      <c r="AB148" s="200">
        <f>+AP133</f>
        <v>12</v>
      </c>
      <c r="AC148" s="201">
        <f>+AP134</f>
        <v>0</v>
      </c>
      <c r="AD148" s="194">
        <f t="shared" si="76"/>
        <v>0</v>
      </c>
      <c r="AE148" s="194">
        <f t="shared" si="76"/>
        <v>0</v>
      </c>
      <c r="AF148" s="194">
        <f t="shared" si="76"/>
        <v>0</v>
      </c>
      <c r="AG148" s="194">
        <f t="shared" si="76"/>
        <v>0</v>
      </c>
      <c r="AH148" s="194">
        <f t="shared" si="76"/>
        <v>0</v>
      </c>
      <c r="AI148" s="194">
        <f t="shared" si="76"/>
        <v>0</v>
      </c>
      <c r="AJ148" s="194">
        <f t="shared" si="76"/>
        <v>0</v>
      </c>
      <c r="AK148" s="194">
        <f t="shared" si="76"/>
        <v>0</v>
      </c>
      <c r="AL148" s="194">
        <f t="shared" si="76"/>
        <v>0</v>
      </c>
      <c r="AM148" s="194">
        <f t="shared" si="76"/>
        <v>0</v>
      </c>
      <c r="AN148" s="194">
        <f t="shared" si="76"/>
        <v>0</v>
      </c>
      <c r="AO148" s="194">
        <f t="shared" si="76"/>
        <v>0</v>
      </c>
      <c r="AP148" s="194">
        <f t="shared" si="76"/>
        <v>0</v>
      </c>
      <c r="AQ148" s="194">
        <f t="shared" si="76"/>
        <v>0</v>
      </c>
      <c r="AR148" s="194">
        <f t="shared" si="76"/>
        <v>0</v>
      </c>
      <c r="AS148" s="194">
        <f t="shared" si="76"/>
        <v>0</v>
      </c>
      <c r="AT148" s="98"/>
    </row>
    <row r="149" spans="17:46" x14ac:dyDescent="0.15">
      <c r="Q149" s="213"/>
      <c r="R149" s="100"/>
      <c r="S149" s="100"/>
      <c r="T149" s="100"/>
      <c r="U149" s="100"/>
      <c r="V149" s="100"/>
      <c r="W149" s="100"/>
      <c r="X149" s="100"/>
      <c r="Y149" s="100"/>
      <c r="Z149" s="143"/>
      <c r="AA149" s="143"/>
      <c r="AB149" s="200">
        <f>+AQ133</f>
        <v>13</v>
      </c>
      <c r="AC149" s="201">
        <f>+AQ134</f>
        <v>0</v>
      </c>
      <c r="AD149" s="194">
        <f t="shared" si="76"/>
        <v>0</v>
      </c>
      <c r="AE149" s="194">
        <f t="shared" si="76"/>
        <v>0</v>
      </c>
      <c r="AF149" s="194">
        <f t="shared" si="76"/>
        <v>0</v>
      </c>
      <c r="AG149" s="194">
        <f t="shared" si="76"/>
        <v>0</v>
      </c>
      <c r="AH149" s="194">
        <f t="shared" si="76"/>
        <v>0</v>
      </c>
      <c r="AI149" s="194">
        <f t="shared" si="76"/>
        <v>0</v>
      </c>
      <c r="AJ149" s="194">
        <f t="shared" si="76"/>
        <v>0</v>
      </c>
      <c r="AK149" s="194">
        <f t="shared" si="76"/>
        <v>0</v>
      </c>
      <c r="AL149" s="194">
        <f t="shared" si="76"/>
        <v>0</v>
      </c>
      <c r="AM149" s="194">
        <f t="shared" si="76"/>
        <v>0</v>
      </c>
      <c r="AN149" s="194">
        <f t="shared" si="76"/>
        <v>0</v>
      </c>
      <c r="AO149" s="194">
        <f t="shared" si="76"/>
        <v>0</v>
      </c>
      <c r="AP149" s="194">
        <f t="shared" si="76"/>
        <v>0</v>
      </c>
      <c r="AQ149" s="194">
        <f t="shared" si="76"/>
        <v>0</v>
      </c>
      <c r="AR149" s="194">
        <f t="shared" si="76"/>
        <v>0</v>
      </c>
      <c r="AS149" s="194">
        <f t="shared" si="76"/>
        <v>0</v>
      </c>
      <c r="AT149" s="98"/>
    </row>
    <row r="150" spans="17:46" x14ac:dyDescent="0.15">
      <c r="Q150" s="213"/>
      <c r="R150" s="100"/>
      <c r="S150" s="100"/>
      <c r="T150" s="100"/>
      <c r="U150" s="100"/>
      <c r="V150" s="100"/>
      <c r="W150" s="100"/>
      <c r="X150" s="100"/>
      <c r="Y150" s="100"/>
      <c r="Z150" s="143"/>
      <c r="AA150" s="143"/>
      <c r="AB150" s="200">
        <f>+AR133</f>
        <v>14</v>
      </c>
      <c r="AC150" s="201">
        <f>+AR134</f>
        <v>0</v>
      </c>
      <c r="AD150" s="194">
        <f t="shared" si="76"/>
        <v>0</v>
      </c>
      <c r="AE150" s="194">
        <f t="shared" si="76"/>
        <v>0</v>
      </c>
      <c r="AF150" s="194">
        <f t="shared" si="76"/>
        <v>0</v>
      </c>
      <c r="AG150" s="194">
        <f t="shared" si="76"/>
        <v>0</v>
      </c>
      <c r="AH150" s="194">
        <f t="shared" si="76"/>
        <v>0</v>
      </c>
      <c r="AI150" s="194">
        <f t="shared" si="76"/>
        <v>0</v>
      </c>
      <c r="AJ150" s="194">
        <f t="shared" si="76"/>
        <v>0</v>
      </c>
      <c r="AK150" s="194">
        <f t="shared" si="76"/>
        <v>0</v>
      </c>
      <c r="AL150" s="194">
        <f t="shared" si="76"/>
        <v>0</v>
      </c>
      <c r="AM150" s="194">
        <f t="shared" si="76"/>
        <v>0</v>
      </c>
      <c r="AN150" s="194">
        <f t="shared" si="76"/>
        <v>0</v>
      </c>
      <c r="AO150" s="194">
        <f t="shared" si="76"/>
        <v>0</v>
      </c>
      <c r="AP150" s="194">
        <f t="shared" si="76"/>
        <v>0</v>
      </c>
      <c r="AQ150" s="194">
        <f t="shared" si="76"/>
        <v>0</v>
      </c>
      <c r="AR150" s="194">
        <f t="shared" si="76"/>
        <v>0</v>
      </c>
      <c r="AS150" s="194">
        <f t="shared" si="76"/>
        <v>0</v>
      </c>
      <c r="AT150" s="98"/>
    </row>
    <row r="151" spans="17:46" x14ac:dyDescent="0.15">
      <c r="Q151" s="213"/>
      <c r="R151" s="100"/>
      <c r="S151" s="100"/>
      <c r="T151" s="100"/>
      <c r="U151" s="100"/>
      <c r="V151" s="100"/>
      <c r="W151" s="100"/>
      <c r="X151" s="100"/>
      <c r="Y151" s="100"/>
      <c r="Z151" s="143"/>
      <c r="AA151" s="143"/>
      <c r="AB151" s="200">
        <f>+AS133</f>
        <v>15</v>
      </c>
      <c r="AC151" s="201">
        <f>+AS134</f>
        <v>0</v>
      </c>
      <c r="AD151" s="194">
        <f t="shared" si="76"/>
        <v>0</v>
      </c>
      <c r="AE151" s="194">
        <f t="shared" si="76"/>
        <v>0</v>
      </c>
      <c r="AF151" s="194">
        <f t="shared" si="76"/>
        <v>0</v>
      </c>
      <c r="AG151" s="194">
        <f t="shared" si="76"/>
        <v>0</v>
      </c>
      <c r="AH151" s="194">
        <f t="shared" si="76"/>
        <v>0</v>
      </c>
      <c r="AI151" s="194">
        <f t="shared" si="76"/>
        <v>0</v>
      </c>
      <c r="AJ151" s="194">
        <f t="shared" si="76"/>
        <v>0</v>
      </c>
      <c r="AK151" s="194">
        <f t="shared" si="76"/>
        <v>0</v>
      </c>
      <c r="AL151" s="194">
        <f t="shared" si="76"/>
        <v>0</v>
      </c>
      <c r="AM151" s="194">
        <f t="shared" si="76"/>
        <v>0</v>
      </c>
      <c r="AN151" s="194">
        <f t="shared" si="76"/>
        <v>0</v>
      </c>
      <c r="AO151" s="194">
        <f t="shared" si="76"/>
        <v>0</v>
      </c>
      <c r="AP151" s="194">
        <f t="shared" si="76"/>
        <v>0</v>
      </c>
      <c r="AQ151" s="194">
        <f t="shared" si="76"/>
        <v>0</v>
      </c>
      <c r="AR151" s="194">
        <f t="shared" si="76"/>
        <v>0</v>
      </c>
      <c r="AS151" s="194">
        <f t="shared" si="76"/>
        <v>0</v>
      </c>
      <c r="AT151" s="98"/>
    </row>
    <row r="152" spans="17:46" x14ac:dyDescent="0.15">
      <c r="Q152" s="213"/>
      <c r="R152" s="100"/>
      <c r="S152" s="100"/>
      <c r="T152" s="100"/>
      <c r="U152" s="100"/>
      <c r="V152" s="100"/>
      <c r="W152" s="100"/>
      <c r="X152" s="100"/>
      <c r="Y152" s="100"/>
      <c r="Z152" s="143"/>
      <c r="AA152" s="191" t="s">
        <v>16</v>
      </c>
      <c r="AB152" s="143"/>
      <c r="AC152" s="202"/>
      <c r="AD152" s="194">
        <f>IF(AD$108=$AB152,$AC152/$AB$107,IF(AD$108&gt;=$AB152+$AB$107,0,IF(AD$108&lt;$AB152,0,$AC152/$AB$107)))</f>
        <v>0</v>
      </c>
      <c r="AE152" s="194">
        <f t="shared" ref="AE152:AS152" si="77">+AE135-AE153</f>
        <v>0</v>
      </c>
      <c r="AF152" s="194">
        <f t="shared" si="77"/>
        <v>0</v>
      </c>
      <c r="AG152" s="194">
        <f t="shared" si="77"/>
        <v>0</v>
      </c>
      <c r="AH152" s="194">
        <f t="shared" si="77"/>
        <v>0</v>
      </c>
      <c r="AI152" s="194">
        <f t="shared" si="77"/>
        <v>0</v>
      </c>
      <c r="AJ152" s="194">
        <f t="shared" si="77"/>
        <v>0</v>
      </c>
      <c r="AK152" s="194">
        <f t="shared" si="77"/>
        <v>0</v>
      </c>
      <c r="AL152" s="194">
        <f t="shared" si="77"/>
        <v>0</v>
      </c>
      <c r="AM152" s="194">
        <f t="shared" si="77"/>
        <v>0</v>
      </c>
      <c r="AN152" s="194">
        <f t="shared" si="77"/>
        <v>0</v>
      </c>
      <c r="AO152" s="194">
        <f t="shared" si="77"/>
        <v>0</v>
      </c>
      <c r="AP152" s="194">
        <f t="shared" si="77"/>
        <v>0</v>
      </c>
      <c r="AQ152" s="194">
        <f t="shared" si="77"/>
        <v>0</v>
      </c>
      <c r="AR152" s="194">
        <f t="shared" si="77"/>
        <v>0</v>
      </c>
      <c r="AS152" s="194">
        <f t="shared" si="77"/>
        <v>0</v>
      </c>
      <c r="AT152" s="98"/>
    </row>
    <row r="153" spans="17:46" x14ac:dyDescent="0.15">
      <c r="Q153" s="213"/>
      <c r="R153" s="100"/>
      <c r="S153" s="100"/>
      <c r="T153" s="100"/>
      <c r="U153" s="100"/>
      <c r="V153" s="100"/>
      <c r="W153" s="100"/>
      <c r="X153" s="100"/>
      <c r="Y153" s="100"/>
      <c r="Z153" s="143"/>
      <c r="AA153" s="191" t="s">
        <v>10</v>
      </c>
      <c r="AB153" s="203"/>
      <c r="AC153" s="201"/>
      <c r="AD153" s="194"/>
      <c r="AE153" s="194">
        <f>+AE154+AD154</f>
        <v>0</v>
      </c>
      <c r="AF153" s="194">
        <f t="shared" ref="AF153:AS153" si="78">+AF154+AE153</f>
        <v>0</v>
      </c>
      <c r="AG153" s="194">
        <f t="shared" si="78"/>
        <v>0</v>
      </c>
      <c r="AH153" s="194">
        <f t="shared" si="78"/>
        <v>0</v>
      </c>
      <c r="AI153" s="194">
        <f t="shared" si="78"/>
        <v>0</v>
      </c>
      <c r="AJ153" s="194">
        <f t="shared" si="78"/>
        <v>0</v>
      </c>
      <c r="AK153" s="194">
        <f t="shared" si="78"/>
        <v>0</v>
      </c>
      <c r="AL153" s="194">
        <f t="shared" si="78"/>
        <v>0</v>
      </c>
      <c r="AM153" s="194">
        <f t="shared" si="78"/>
        <v>0</v>
      </c>
      <c r="AN153" s="194">
        <f t="shared" si="78"/>
        <v>0</v>
      </c>
      <c r="AO153" s="194">
        <f t="shared" si="78"/>
        <v>0</v>
      </c>
      <c r="AP153" s="194">
        <f t="shared" si="78"/>
        <v>0</v>
      </c>
      <c r="AQ153" s="194">
        <f t="shared" si="78"/>
        <v>0</v>
      </c>
      <c r="AR153" s="194">
        <f t="shared" si="78"/>
        <v>0</v>
      </c>
      <c r="AS153" s="194">
        <f t="shared" si="78"/>
        <v>0</v>
      </c>
      <c r="AT153" s="98"/>
    </row>
    <row r="154" spans="17:46" x14ac:dyDescent="0.15">
      <c r="Q154" s="213"/>
      <c r="R154" s="100"/>
      <c r="S154" s="100"/>
      <c r="T154" s="100"/>
      <c r="U154" s="100"/>
      <c r="V154" s="100"/>
      <c r="W154" s="100"/>
      <c r="X154" s="100"/>
      <c r="Y154" s="100"/>
      <c r="Z154" s="204"/>
      <c r="AA154" s="191" t="s">
        <v>1</v>
      </c>
      <c r="AB154" s="204"/>
      <c r="AC154" s="205"/>
      <c r="AD154" s="194">
        <f t="shared" ref="AD154:AS154" si="79">SUM(AD136:AD151)</f>
        <v>0</v>
      </c>
      <c r="AE154" s="194">
        <f t="shared" si="79"/>
        <v>0</v>
      </c>
      <c r="AF154" s="194">
        <f t="shared" si="79"/>
        <v>0</v>
      </c>
      <c r="AG154" s="194">
        <f t="shared" si="79"/>
        <v>0</v>
      </c>
      <c r="AH154" s="194">
        <f t="shared" si="79"/>
        <v>0</v>
      </c>
      <c r="AI154" s="194">
        <f t="shared" si="79"/>
        <v>0</v>
      </c>
      <c r="AJ154" s="194">
        <f t="shared" si="79"/>
        <v>0</v>
      </c>
      <c r="AK154" s="194">
        <f t="shared" si="79"/>
        <v>0</v>
      </c>
      <c r="AL154" s="194">
        <f t="shared" si="79"/>
        <v>0</v>
      </c>
      <c r="AM154" s="194">
        <f t="shared" si="79"/>
        <v>0</v>
      </c>
      <c r="AN154" s="194">
        <f t="shared" si="79"/>
        <v>0</v>
      </c>
      <c r="AO154" s="194">
        <f t="shared" si="79"/>
        <v>0</v>
      </c>
      <c r="AP154" s="194">
        <f t="shared" si="79"/>
        <v>0</v>
      </c>
      <c r="AQ154" s="194">
        <f t="shared" si="79"/>
        <v>0</v>
      </c>
      <c r="AR154" s="194">
        <f t="shared" si="79"/>
        <v>0</v>
      </c>
      <c r="AS154" s="194">
        <f t="shared" si="79"/>
        <v>0</v>
      </c>
      <c r="AT154" s="98"/>
    </row>
    <row r="155" spans="17:46" x14ac:dyDescent="0.15">
      <c r="Q155" s="213"/>
      <c r="R155" s="100"/>
      <c r="S155" s="100"/>
      <c r="T155" s="100"/>
      <c r="U155" s="100"/>
      <c r="V155" s="100"/>
      <c r="W155" s="100"/>
      <c r="X155" s="100"/>
      <c r="Y155" s="100"/>
      <c r="Z155" s="143"/>
      <c r="AA155" s="143"/>
      <c r="AB155" s="143"/>
      <c r="AC155" s="202"/>
      <c r="AD155" s="143"/>
      <c r="AE155" s="143"/>
      <c r="AF155" s="143"/>
      <c r="AG155" s="143"/>
      <c r="AH155" s="143"/>
      <c r="AI155" s="143"/>
      <c r="AJ155" s="143"/>
      <c r="AK155" s="143"/>
      <c r="AL155" s="143"/>
      <c r="AM155" s="143"/>
      <c r="AN155" s="143"/>
      <c r="AO155" s="143"/>
      <c r="AP155" s="143"/>
      <c r="AQ155" s="143"/>
      <c r="AR155" s="143"/>
      <c r="AS155" s="143"/>
      <c r="AT155" s="98"/>
    </row>
    <row r="156" spans="17:46" x14ac:dyDescent="0.15">
      <c r="Q156" s="213"/>
      <c r="R156" s="100"/>
      <c r="S156" s="100"/>
      <c r="T156" s="100"/>
      <c r="U156" s="100"/>
      <c r="V156" s="100"/>
      <c r="W156" s="100"/>
      <c r="X156" s="100"/>
      <c r="Y156" s="100"/>
      <c r="Z156" s="143"/>
      <c r="AA156" s="143"/>
      <c r="AB156" s="143"/>
      <c r="AC156" s="202"/>
      <c r="AD156" s="143"/>
      <c r="AE156" s="143"/>
      <c r="AF156" s="143"/>
      <c r="AG156" s="143"/>
      <c r="AH156" s="143"/>
      <c r="AI156" s="143"/>
      <c r="AJ156" s="143"/>
      <c r="AK156" s="143"/>
      <c r="AL156" s="143"/>
      <c r="AM156" s="143"/>
      <c r="AN156" s="143"/>
      <c r="AO156" s="143"/>
      <c r="AP156" s="143"/>
      <c r="AQ156" s="143"/>
      <c r="AR156" s="143"/>
      <c r="AS156" s="143"/>
      <c r="AT156" s="98"/>
    </row>
    <row r="157" spans="17:46" x14ac:dyDescent="0.15">
      <c r="Q157" s="213"/>
      <c r="R157" s="100"/>
      <c r="S157" s="100"/>
      <c r="T157" s="100"/>
      <c r="U157" s="100"/>
      <c r="V157" s="100"/>
      <c r="W157" s="100"/>
      <c r="X157" s="100"/>
      <c r="Y157" s="100"/>
      <c r="Z157" s="143"/>
      <c r="AA157" s="143"/>
      <c r="AB157" s="143"/>
      <c r="AC157" s="202"/>
      <c r="AD157" s="143"/>
      <c r="AE157" s="143"/>
      <c r="AF157" s="143"/>
      <c r="AG157" s="143"/>
      <c r="AH157" s="143"/>
      <c r="AI157" s="143"/>
      <c r="AJ157" s="143"/>
      <c r="AK157" s="143"/>
      <c r="AL157" s="143"/>
      <c r="AM157" s="143"/>
      <c r="AN157" s="143"/>
      <c r="AO157" s="143"/>
      <c r="AP157" s="143"/>
      <c r="AQ157" s="143"/>
      <c r="AR157" s="143"/>
      <c r="AS157" s="143"/>
      <c r="AT157" s="98"/>
    </row>
    <row r="158" spans="17:46" x14ac:dyDescent="0.15">
      <c r="Q158" s="213"/>
      <c r="R158" s="100"/>
      <c r="S158" s="100"/>
      <c r="T158" s="100"/>
      <c r="U158" s="100"/>
      <c r="V158" s="100"/>
      <c r="W158" s="100"/>
      <c r="X158" s="100"/>
      <c r="Y158" s="100"/>
      <c r="Z158" s="143"/>
      <c r="AA158" s="143"/>
      <c r="AB158" s="143"/>
      <c r="AC158" s="202"/>
      <c r="AD158" s="143"/>
      <c r="AE158" s="143"/>
      <c r="AF158" s="143"/>
      <c r="AG158" s="143"/>
      <c r="AH158" s="143"/>
      <c r="AI158" s="143"/>
      <c r="AJ158" s="143"/>
      <c r="AK158" s="143"/>
      <c r="AL158" s="143"/>
      <c r="AM158" s="143"/>
      <c r="AN158" s="143"/>
      <c r="AO158" s="143"/>
      <c r="AP158" s="143"/>
      <c r="AQ158" s="143"/>
      <c r="AR158" s="143"/>
      <c r="AS158" s="143"/>
      <c r="AT158" s="98"/>
    </row>
    <row r="159" spans="17:46" ht="14" thickBot="1" x14ac:dyDescent="0.2">
      <c r="Q159" s="213"/>
      <c r="R159" s="100"/>
      <c r="S159" s="100"/>
      <c r="T159" s="100"/>
      <c r="U159" s="100"/>
      <c r="V159" s="100"/>
      <c r="W159" s="100"/>
      <c r="X159" s="100"/>
      <c r="Y159" s="100"/>
      <c r="Z159" s="143"/>
      <c r="AA159" s="143"/>
      <c r="AB159" s="143"/>
      <c r="AC159" s="202"/>
      <c r="AD159" s="143"/>
      <c r="AE159" s="143"/>
      <c r="AF159" s="143"/>
      <c r="AG159" s="143"/>
      <c r="AH159" s="143"/>
      <c r="AI159" s="143"/>
      <c r="AJ159" s="143"/>
      <c r="AK159" s="143"/>
      <c r="AL159" s="143"/>
      <c r="AM159" s="143"/>
      <c r="AN159" s="143"/>
      <c r="AO159" s="143"/>
      <c r="AP159" s="143"/>
      <c r="AQ159" s="143"/>
      <c r="AR159" s="143"/>
      <c r="AS159" s="143"/>
      <c r="AT159" s="98"/>
    </row>
    <row r="160" spans="17:46" ht="14" thickBot="1" x14ac:dyDescent="0.2">
      <c r="Q160" s="213"/>
      <c r="R160" s="100"/>
      <c r="S160" s="100"/>
      <c r="T160" s="100"/>
      <c r="U160" s="100"/>
      <c r="V160" s="100"/>
      <c r="W160" s="100"/>
      <c r="X160" s="100"/>
      <c r="Y160" s="100"/>
      <c r="Z160" s="206" t="s">
        <v>12</v>
      </c>
      <c r="AA160" s="207"/>
      <c r="AB160" s="208"/>
      <c r="AC160" s="209"/>
      <c r="AD160" s="210">
        <f t="shared" ref="AD160:AS160" si="80">+AD154+AD129</f>
        <v>0</v>
      </c>
      <c r="AE160" s="210">
        <f t="shared" si="80"/>
        <v>4000</v>
      </c>
      <c r="AF160" s="210">
        <f t="shared" si="80"/>
        <v>4000</v>
      </c>
      <c r="AG160" s="210">
        <f t="shared" si="80"/>
        <v>4000</v>
      </c>
      <c r="AH160" s="210">
        <f t="shared" si="80"/>
        <v>4000</v>
      </c>
      <c r="AI160" s="210">
        <f t="shared" si="80"/>
        <v>4000</v>
      </c>
      <c r="AJ160" s="210">
        <f t="shared" si="80"/>
        <v>0</v>
      </c>
      <c r="AK160" s="210">
        <f t="shared" si="80"/>
        <v>0</v>
      </c>
      <c r="AL160" s="210">
        <f t="shared" si="80"/>
        <v>0</v>
      </c>
      <c r="AM160" s="210">
        <f t="shared" si="80"/>
        <v>0</v>
      </c>
      <c r="AN160" s="210">
        <f t="shared" si="80"/>
        <v>0</v>
      </c>
      <c r="AO160" s="210">
        <f t="shared" si="80"/>
        <v>0</v>
      </c>
      <c r="AP160" s="210">
        <f t="shared" si="80"/>
        <v>0</v>
      </c>
      <c r="AQ160" s="210">
        <f t="shared" si="80"/>
        <v>0</v>
      </c>
      <c r="AR160" s="210">
        <f t="shared" si="80"/>
        <v>0</v>
      </c>
      <c r="AS160" s="211">
        <f t="shared" si="80"/>
        <v>0</v>
      </c>
      <c r="AT160" s="98"/>
    </row>
    <row r="161" spans="17:46" x14ac:dyDescent="0.15">
      <c r="Q161" s="213"/>
      <c r="R161" s="100"/>
      <c r="S161" s="100"/>
      <c r="T161" s="100"/>
      <c r="U161" s="100"/>
      <c r="V161" s="100"/>
      <c r="W161" s="100"/>
      <c r="X161" s="100"/>
      <c r="Y161" s="100"/>
      <c r="Z161" s="100"/>
      <c r="AA161" s="100"/>
      <c r="AB161" s="100"/>
      <c r="AC161" s="102"/>
      <c r="AD161" s="100"/>
      <c r="AE161" s="100"/>
      <c r="AF161" s="100"/>
      <c r="AG161" s="100"/>
      <c r="AH161" s="100"/>
      <c r="AI161" s="100"/>
      <c r="AJ161" s="100"/>
      <c r="AK161" s="100"/>
      <c r="AL161" s="100"/>
      <c r="AM161" s="100"/>
      <c r="AN161" s="100"/>
      <c r="AO161" s="100"/>
      <c r="AP161" s="100"/>
      <c r="AQ161" s="100"/>
      <c r="AR161" s="100"/>
      <c r="AS161" s="100"/>
      <c r="AT161" s="98"/>
    </row>
    <row r="162" spans="17:46" ht="14" thickBot="1" x14ac:dyDescent="0.2">
      <c r="Q162" s="215"/>
      <c r="R162" s="216"/>
      <c r="S162" s="216"/>
      <c r="T162" s="216"/>
      <c r="U162" s="216"/>
      <c r="V162" s="216"/>
      <c r="W162" s="216"/>
      <c r="X162" s="216"/>
      <c r="Y162" s="216"/>
      <c r="Z162" s="216"/>
      <c r="AA162" s="216"/>
      <c r="AB162" s="216"/>
      <c r="AC162" s="217"/>
      <c r="AD162" s="216"/>
      <c r="AE162" s="216"/>
      <c r="AF162" s="216"/>
      <c r="AG162" s="216"/>
      <c r="AH162" s="216"/>
      <c r="AI162" s="216"/>
      <c r="AJ162" s="216"/>
      <c r="AK162" s="216"/>
      <c r="AL162" s="216"/>
      <c r="AM162" s="216"/>
      <c r="AN162" s="216"/>
      <c r="AO162" s="216"/>
      <c r="AP162" s="216"/>
      <c r="AQ162" s="216"/>
      <c r="AR162" s="216"/>
      <c r="AS162" s="216"/>
      <c r="AT162" s="218"/>
    </row>
    <row r="163" spans="17:46" ht="14" thickTop="1" x14ac:dyDescent="0.15"/>
  </sheetData>
  <sheetProtection password="AAD9" sheet="1" objects="1" scenarios="1"/>
  <mergeCells count="53">
    <mergeCell ref="B29:B37"/>
    <mergeCell ref="AB40:AB46"/>
    <mergeCell ref="AB47:AB54"/>
    <mergeCell ref="AB55:AB62"/>
    <mergeCell ref="C34:D34"/>
    <mergeCell ref="C46:D46"/>
    <mergeCell ref="C47:D47"/>
    <mergeCell ref="C48:D48"/>
    <mergeCell ref="C29:D30"/>
    <mergeCell ref="C31:D31"/>
    <mergeCell ref="C32:D32"/>
    <mergeCell ref="C35:D35"/>
    <mergeCell ref="C33:D33"/>
    <mergeCell ref="C36:D36"/>
    <mergeCell ref="C37:D37"/>
    <mergeCell ref="B41:B48"/>
    <mergeCell ref="AE107:AN107"/>
    <mergeCell ref="AE132:AN132"/>
    <mergeCell ref="AE81:AN81"/>
    <mergeCell ref="AE38:AN38"/>
    <mergeCell ref="AB38:AC39"/>
    <mergeCell ref="AB63:AB70"/>
    <mergeCell ref="AB71:AB77"/>
    <mergeCell ref="T81:AC81"/>
    <mergeCell ref="R83:R86"/>
    <mergeCell ref="R92:R97"/>
    <mergeCell ref="R87:R90"/>
    <mergeCell ref="R91:S91"/>
    <mergeCell ref="AE30:AN30"/>
    <mergeCell ref="T30:AC30"/>
    <mergeCell ref="C2:O2"/>
    <mergeCell ref="B17:B23"/>
    <mergeCell ref="C15:C16"/>
    <mergeCell ref="D15:D16"/>
    <mergeCell ref="E15:E16"/>
    <mergeCell ref="F15:F16"/>
    <mergeCell ref="G15:G16"/>
    <mergeCell ref="B5:B11"/>
    <mergeCell ref="C5:C6"/>
    <mergeCell ref="D5:D6"/>
    <mergeCell ref="E5:E6"/>
    <mergeCell ref="C41:D42"/>
    <mergeCell ref="C43:D43"/>
    <mergeCell ref="C44:D44"/>
    <mergeCell ref="C45:D45"/>
    <mergeCell ref="B54:B65"/>
    <mergeCell ref="C54:D57"/>
    <mergeCell ref="C58:D58"/>
    <mergeCell ref="C59:D59"/>
    <mergeCell ref="C60:D60"/>
    <mergeCell ref="C63:D63"/>
    <mergeCell ref="C64:D64"/>
    <mergeCell ref="C65:D65"/>
  </mergeCells>
  <phoneticPr fontId="2" type="noConversion"/>
  <conditionalFormatting sqref="E29:E31 E40:E65">
    <cfRule type="expression" dxfId="27" priority="18">
      <formula>$E$30&gt;(YEAR($H$11) - YEAR($G$11))</formula>
    </cfRule>
  </conditionalFormatting>
  <conditionalFormatting sqref="E7:E10">
    <cfRule type="expression" dxfId="26" priority="29">
      <formula>AND(D7&gt;="YES", E7=0)</formula>
    </cfRule>
  </conditionalFormatting>
  <conditionalFormatting sqref="O40:O65 O29:O37">
    <cfRule type="expression" dxfId="25" priority="28">
      <formula>$O$30&gt;(YEAR($H$11) - YEAR($G$11))</formula>
    </cfRule>
  </conditionalFormatting>
  <conditionalFormatting sqref="N40:N65 N29:N37">
    <cfRule type="expression" dxfId="24" priority="27">
      <formula>$N$30&gt;(YEAR($H$11) - YEAR($G$11))</formula>
    </cfRule>
  </conditionalFormatting>
  <conditionalFormatting sqref="M40:M65 M29:M37">
    <cfRule type="expression" dxfId="23" priority="26">
      <formula>$M$30&gt;(YEAR($H$11) - YEAR($G$11))</formula>
    </cfRule>
  </conditionalFormatting>
  <conditionalFormatting sqref="L40:L65 L29:L37">
    <cfRule type="expression" dxfId="22" priority="25">
      <formula>$L$30&gt;(YEAR($H$11) - YEAR($G$11))</formula>
    </cfRule>
  </conditionalFormatting>
  <conditionalFormatting sqref="K40:K65 K29:K37">
    <cfRule type="expression" dxfId="21" priority="24">
      <formula>$K$30&gt;(YEAR($H$11) - YEAR($G$11))</formula>
    </cfRule>
  </conditionalFormatting>
  <conditionalFormatting sqref="J40:J65 J29:J37">
    <cfRule type="expression" dxfId="20" priority="23">
      <formula>$J$30&gt;(YEAR($H$11) - YEAR($G$11))</formula>
    </cfRule>
  </conditionalFormatting>
  <conditionalFormatting sqref="I40:I65 I29:I37">
    <cfRule type="expression" dxfId="19" priority="22">
      <formula>$I$30&gt;(YEAR($H$11) - YEAR($G$11))</formula>
    </cfRule>
  </conditionalFormatting>
  <conditionalFormatting sqref="H40:H65 H29:H37">
    <cfRule type="expression" dxfId="18" priority="21">
      <formula>$H$30&gt;(YEAR($H$11) - YEAR($G$11))</formula>
    </cfRule>
  </conditionalFormatting>
  <conditionalFormatting sqref="G40:G65 G29:G37">
    <cfRule type="expression" dxfId="17" priority="20">
      <formula>$G$30&gt;(YEAR($H$11) - YEAR($G$11))</formula>
    </cfRule>
  </conditionalFormatting>
  <conditionalFormatting sqref="F40:F65 F29:F37">
    <cfRule type="expression" dxfId="16" priority="19">
      <formula>$F$30&gt;(YEAR($H$11) - YEAR($G$11))</formula>
    </cfRule>
  </conditionalFormatting>
  <conditionalFormatting sqref="O31">
    <cfRule type="expression" dxfId="15" priority="16">
      <formula>$N$30&gt;(YEAR($H$11) - YEAR($G$11))</formula>
    </cfRule>
  </conditionalFormatting>
  <conditionalFormatting sqref="O32:O34">
    <cfRule type="expression" dxfId="14" priority="15">
      <formula>$N$30&gt;(YEAR($H$11) - YEAR($G$11))</formula>
    </cfRule>
  </conditionalFormatting>
  <conditionalFormatting sqref="O35:O37">
    <cfRule type="expression" dxfId="13" priority="14">
      <formula>$N$30&gt;(YEAR($H$11) - YEAR($G$11))</formula>
    </cfRule>
  </conditionalFormatting>
  <conditionalFormatting sqref="AL31 AL82 AL108:AL129 AL133:AL154 AL92:AL103 AD5:AL19 AM6:AN19 AL87:AL90 AD39:AN78">
    <cfRule type="expression" dxfId="12" priority="13">
      <formula>AD$5=""</formula>
    </cfRule>
  </conditionalFormatting>
  <conditionalFormatting sqref="AM31 AM82 AM108:AM129 AM133:AM154 AM92:AM103 AM87:AM90">
    <cfRule type="expression" dxfId="11" priority="12">
      <formula>AM$5=""</formula>
    </cfRule>
  </conditionalFormatting>
  <conditionalFormatting sqref="AN31 AN82:AN90 AN108:AS129 AN133:AS154 AN92:AN103">
    <cfRule type="expression" dxfId="10" priority="11">
      <formula>AN$5=""</formula>
    </cfRule>
  </conditionalFormatting>
  <conditionalFormatting sqref="AK31 AK82 AK108:AK129 AK133:AK154 AK92:AK103 AK87:AK90">
    <cfRule type="expression" dxfId="9" priority="10">
      <formula>AK$5=""</formula>
    </cfRule>
  </conditionalFormatting>
  <conditionalFormatting sqref="AJ31 AJ82 AJ108:AJ129 AJ133:AJ154 AJ92:AJ103 AJ87:AJ90">
    <cfRule type="expression" dxfId="8" priority="9">
      <formula>AJ$5=""</formula>
    </cfRule>
  </conditionalFormatting>
  <conditionalFormatting sqref="AI31 AI82 AI108:AI129 AI133:AI154 AI92:AI103 AI87:AI90">
    <cfRule type="expression" dxfId="7" priority="8">
      <formula>AI$5=""</formula>
    </cfRule>
  </conditionalFormatting>
  <conditionalFormatting sqref="AH31 AH82 AH108:AH129 AH133:AH154 AH92:AH103 AH87:AH90">
    <cfRule type="expression" dxfId="6" priority="7">
      <formula>AH$5=""</formula>
    </cfRule>
  </conditionalFormatting>
  <conditionalFormatting sqref="AG31 AG82 AG108:AG129 AG133:AG154 AG92:AG103 AG87:AG90">
    <cfRule type="expression" dxfId="5" priority="6">
      <formula>AG$5=""</formula>
    </cfRule>
  </conditionalFormatting>
  <conditionalFormatting sqref="AF31 AF82 AF108:AF129 AF133:AF154 AF92:AF103 AF87:AF90">
    <cfRule type="expression" dxfId="4" priority="5">
      <formula>AF$5=""</formula>
    </cfRule>
  </conditionalFormatting>
  <conditionalFormatting sqref="AE31:AE35 AE82:AE90 AE108:AE129 AE133:AE154 AE92:AE103 AF32:AN35 AF83:AM86">
    <cfRule type="expression" dxfId="3" priority="4">
      <formula>AE$5=""</formula>
    </cfRule>
  </conditionalFormatting>
  <conditionalFormatting sqref="AD31:AD35 AD82:AD103 AD108:AD129 AD133:AD154 AE91:AN91">
    <cfRule type="expression" dxfId="2" priority="3">
      <formula>AD$5=""</formula>
    </cfRule>
  </conditionalFormatting>
  <conditionalFormatting sqref="E32:E34">
    <cfRule type="expression" dxfId="1" priority="2">
      <formula>$F$30&gt;(YEAR($H$11) - YEAR($G$11))</formula>
    </cfRule>
  </conditionalFormatting>
  <conditionalFormatting sqref="E35:E37">
    <cfRule type="expression" dxfId="0" priority="1">
      <formula>$F$30&gt;(YEAR($H$11) - YEAR($G$11))</formula>
    </cfRule>
  </conditionalFormatting>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7BD45D91E027249B5860109DE080D04" ma:contentTypeVersion="2" ma:contentTypeDescription="Create a new document." ma:contentTypeScope="" ma:versionID="0b6366ca1641f4505de929d43e0013d9">
  <xsd:schema xmlns:xsd="http://www.w3.org/2001/XMLSchema" xmlns:xs="http://www.w3.org/2001/XMLSchema" xmlns:p="http://schemas.microsoft.com/office/2006/metadata/properties" targetNamespace="http://schemas.microsoft.com/office/2006/metadata/properties" ma:root="true" ma:fieldsID="1274a21d2db40ddb86d62634b69c311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1A5B41-A605-3347-B338-ACED477D4727}">
  <ds:schemaRefs>
    <ds:schemaRef ds:uri="http://schemas.microsoft.com/office/infopath/2007/PartnerControls"/>
    <ds:schemaRef ds:uri="http://schemas.microsoft.com/office/2006/metadata/properties"/>
    <ds:schemaRef ds:uri="http://purl.org/dc/elements/1.1/"/>
    <ds:schemaRef ds:uri="http://schemas.microsoft.com/office/2006/documentManagement/types"/>
    <ds:schemaRef ds:uri="http://www.w3.org/XML/1998/namespace"/>
    <ds:schemaRef ds:uri="http://purl.org/dc/term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78D34510-BBA9-4EEC-A478-9FB3807BCC68}">
  <ds:schemaRefs>
    <ds:schemaRef ds:uri="http://schemas.microsoft.com/sharepoint/v3/contenttype/forms"/>
  </ds:schemaRefs>
</ds:datastoreItem>
</file>

<file path=customXml/itemProps3.xml><?xml version="1.0" encoding="utf-8"?>
<ds:datastoreItem xmlns:ds="http://schemas.openxmlformats.org/officeDocument/2006/customXml" ds:itemID="{95205C76-834F-4B74-87A7-A08779AC2A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0.Guidelines</vt:lpstr>
      <vt:lpstr>I.InputData</vt:lpstr>
      <vt:lpstr>II.Profit&amp;Loss+CashFlow</vt:lpstr>
      <vt:lpstr>SUPPORT</vt:lpstr>
    </vt:vector>
  </TitlesOfParts>
  <Company>ESA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Michele Castorina</dc:creator>
  <cp:lastModifiedBy>Javier De Pablos</cp:lastModifiedBy>
  <cp:lastPrinted>2010-04-06T09:51:54Z</cp:lastPrinted>
  <dcterms:created xsi:type="dcterms:W3CDTF">2010-04-02T08:06:11Z</dcterms:created>
  <dcterms:modified xsi:type="dcterms:W3CDTF">2022-10-06T15:03:41Z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5a4acaa1-86aa-4ba8-a852-55546de4092f</vt:lpwstr>
  </property>
  <property fmtid="{D5CDD505-2E9C-101B-9397-08002B2CF9AE}" pid="3" name="ContentTypeId">
    <vt:lpwstr>0x01010037BD45D91E027249B5860109DE080D04</vt:lpwstr>
  </property>
  <property fmtid="{D5CDD505-2E9C-101B-9397-08002B2CF9AE}" pid="4" name="MSIP_Label_3976fa30-1907-4356-8241-62ea5e1c0256_Enabled">
    <vt:lpwstr>true</vt:lpwstr>
  </property>
  <property fmtid="{D5CDD505-2E9C-101B-9397-08002B2CF9AE}" pid="5" name="MSIP_Label_3976fa30-1907-4356-8241-62ea5e1c0256_SetDate">
    <vt:lpwstr>2022-06-03T14:02:46Z</vt:lpwstr>
  </property>
  <property fmtid="{D5CDD505-2E9C-101B-9397-08002B2CF9AE}" pid="6" name="MSIP_Label_3976fa30-1907-4356-8241-62ea5e1c0256_Method">
    <vt:lpwstr>Privileged</vt:lpwstr>
  </property>
  <property fmtid="{D5CDD505-2E9C-101B-9397-08002B2CF9AE}" pid="7" name="MSIP_Label_3976fa30-1907-4356-8241-62ea5e1c0256_Name">
    <vt:lpwstr>ESA UNCLASSIFIED – For ESA Official Use Only</vt:lpwstr>
  </property>
  <property fmtid="{D5CDD505-2E9C-101B-9397-08002B2CF9AE}" pid="8" name="MSIP_Label_3976fa30-1907-4356-8241-62ea5e1c0256_SiteId">
    <vt:lpwstr>9a5cacd0-2bef-4dd7-ac5c-7ebe1f54f495</vt:lpwstr>
  </property>
  <property fmtid="{D5CDD505-2E9C-101B-9397-08002B2CF9AE}" pid="9" name="MSIP_Label_3976fa30-1907-4356-8241-62ea5e1c0256_ActionId">
    <vt:lpwstr>598a1529-def9-4c8e-8792-e18946eb6e78</vt:lpwstr>
  </property>
  <property fmtid="{D5CDD505-2E9C-101B-9397-08002B2CF9AE}" pid="10" name="MSIP_Label_3976fa30-1907-4356-8241-62ea5e1c0256_ContentBits">
    <vt:lpwstr>0</vt:lpwstr>
  </property>
</Properties>
</file>